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L:\DADOS\SS\flavia.correa\RELATÓRIO OPERACIONAL E FINANCEIRO\2025\"/>
    </mc:Choice>
  </mc:AlternateContent>
  <xr:revisionPtr revIDLastSave="0" documentId="13_ncr:1_{41AE744D-322D-4461-B1DC-74811C84418C}" xr6:coauthVersionLast="47" xr6:coauthVersionMax="47" xr10:uidLastSave="{00000000-0000-0000-0000-000000000000}"/>
  <bookViews>
    <workbookView xWindow="-120" yWindow="-120" windowWidth="29040" windowHeight="15720" xr2:uid="{D9C821E8-DC68-44A0-ABEC-4C6874E558C2}"/>
  </bookViews>
  <sheets>
    <sheet name="resumo" sheetId="12" r:id="rId1"/>
    <sheet name="Mov. Cargas " sheetId="1" r:id="rId2"/>
    <sheet name="cargas mensal" sheetId="5" r:id="rId3"/>
    <sheet name="médias móveis cargas" sheetId="6" r:id="rId4"/>
    <sheet name="Compar. Cargas" sheetId="3" r:id="rId5"/>
    <sheet name="Export. Import." sheetId="10" r:id="rId6"/>
    <sheet name="receitas" sheetId="2" r:id="rId7"/>
    <sheet name="detalhe faturamento" sheetId="13" r:id="rId8"/>
    <sheet name="Compar. receitas" sheetId="11" r:id="rId9"/>
    <sheet name="berço 101" sheetId="7" r:id="rId10"/>
    <sheet name="tempo espera x qtde navios" sheetId="14" r:id="rId11"/>
    <sheet name="Compar. berços" sheetId="4" r:id="rId12"/>
    <sheet name="valor das cargas CIF" sheetId="15" r:id="rId13"/>
  </sheets>
  <definedNames>
    <definedName name="_xlnm._FilterDatabase" localSheetId="9" hidden="1">'berço 101'!$A$2:$V$120</definedName>
    <definedName name="_xlnm.Print_Area" localSheetId="1">'Mov. Cargas '!$A$1:$P$98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2" l="1"/>
  <c r="H27" i="12"/>
  <c r="H20" i="12"/>
  <c r="E19" i="12"/>
  <c r="C19" i="12"/>
  <c r="H15" i="12"/>
  <c r="E14" i="12"/>
  <c r="C14" i="12"/>
  <c r="E25" i="4"/>
  <c r="C27" i="4"/>
  <c r="E132" i="7" l="1"/>
  <c r="E12" i="12" s="1"/>
  <c r="F132" i="7" l="1"/>
  <c r="E13" i="12" s="1"/>
  <c r="N132" i="7"/>
  <c r="D27" i="11"/>
  <c r="A27" i="11"/>
  <c r="A33" i="11"/>
  <c r="E20" i="11"/>
  <c r="K255" i="13"/>
  <c r="L255" i="13" s="1"/>
  <c r="J255" i="13"/>
  <c r="I255" i="13"/>
  <c r="H255" i="13"/>
  <c r="G255" i="13"/>
  <c r="F255" i="13"/>
  <c r="E255" i="13"/>
  <c r="K253" i="13"/>
  <c r="J253" i="13"/>
  <c r="I253" i="13"/>
  <c r="H253" i="13"/>
  <c r="L253" i="13" s="1"/>
  <c r="G253" i="13"/>
  <c r="F253" i="13"/>
  <c r="E253" i="13"/>
  <c r="K251" i="13"/>
  <c r="J251" i="13"/>
  <c r="I251" i="13"/>
  <c r="H251" i="13"/>
  <c r="G251" i="13"/>
  <c r="F251" i="13"/>
  <c r="E251" i="13"/>
  <c r="L251" i="13" s="1"/>
  <c r="K249" i="13"/>
  <c r="J249" i="13"/>
  <c r="I249" i="13"/>
  <c r="H249" i="13"/>
  <c r="G249" i="13"/>
  <c r="F249" i="13"/>
  <c r="E249" i="13"/>
  <c r="L249" i="13" s="1"/>
  <c r="K247" i="13"/>
  <c r="L247" i="13" s="1"/>
  <c r="J247" i="13"/>
  <c r="I247" i="13"/>
  <c r="H247" i="13"/>
  <c r="G247" i="13"/>
  <c r="F247" i="13"/>
  <c r="E247" i="13"/>
  <c r="K245" i="13"/>
  <c r="J245" i="13"/>
  <c r="I245" i="13"/>
  <c r="H245" i="13"/>
  <c r="G245" i="13"/>
  <c r="F245" i="13"/>
  <c r="K243" i="13"/>
  <c r="K256" i="13" s="1"/>
  <c r="J243" i="13"/>
  <c r="J256" i="13" s="1"/>
  <c r="E243" i="13"/>
  <c r="K240" i="13"/>
  <c r="J240" i="13"/>
  <c r="E240" i="13"/>
  <c r="L239" i="13"/>
  <c r="L238" i="13"/>
  <c r="L237" i="13"/>
  <c r="L236" i="13"/>
  <c r="L235" i="13"/>
  <c r="L234" i="13"/>
  <c r="H234" i="13"/>
  <c r="G234" i="13"/>
  <c r="L233" i="13"/>
  <c r="L232" i="13"/>
  <c r="L231" i="13"/>
  <c r="L230" i="13"/>
  <c r="L229" i="13"/>
  <c r="L228" i="13"/>
  <c r="L227" i="13"/>
  <c r="L226" i="13"/>
  <c r="H225" i="13"/>
  <c r="G225" i="13"/>
  <c r="L225" i="13" s="1"/>
  <c r="H224" i="13"/>
  <c r="G224" i="13"/>
  <c r="L224" i="13" s="1"/>
  <c r="G223" i="13"/>
  <c r="L223" i="13" s="1"/>
  <c r="L222" i="13"/>
  <c r="L221" i="13"/>
  <c r="L220" i="13"/>
  <c r="L219" i="13"/>
  <c r="H219" i="13"/>
  <c r="L218" i="13"/>
  <c r="L217" i="13"/>
  <c r="H217" i="13"/>
  <c r="G217" i="13"/>
  <c r="L216" i="13"/>
  <c r="L215" i="13"/>
  <c r="G214" i="13"/>
  <c r="L214" i="13" s="1"/>
  <c r="L213" i="13"/>
  <c r="L212" i="13"/>
  <c r="L211" i="13"/>
  <c r="L210" i="13"/>
  <c r="L209" i="13"/>
  <c r="L208" i="13"/>
  <c r="L207" i="13"/>
  <c r="L206" i="13"/>
  <c r="L205" i="13"/>
  <c r="L204" i="13"/>
  <c r="L203" i="13"/>
  <c r="L202" i="13"/>
  <c r="L201" i="13"/>
  <c r="L200" i="13"/>
  <c r="L199" i="13"/>
  <c r="L198" i="13"/>
  <c r="L197" i="13"/>
  <c r="L196" i="13"/>
  <c r="L195" i="13"/>
  <c r="L194" i="13"/>
  <c r="L193" i="13"/>
  <c r="L192" i="13"/>
  <c r="G191" i="13"/>
  <c r="L191" i="13" s="1"/>
  <c r="L190" i="13"/>
  <c r="L189" i="13"/>
  <c r="L188" i="13"/>
  <c r="L187" i="13"/>
  <c r="L186" i="13"/>
  <c r="L185" i="13"/>
  <c r="L184" i="13"/>
  <c r="L183" i="13"/>
  <c r="F182" i="13"/>
  <c r="L182" i="13" s="1"/>
  <c r="L181" i="13"/>
  <c r="L180" i="13"/>
  <c r="L179" i="13"/>
  <c r="L178" i="13"/>
  <c r="L177" i="13"/>
  <c r="L176" i="13"/>
  <c r="L175" i="13"/>
  <c r="L174" i="13"/>
  <c r="L173" i="13"/>
  <c r="L172" i="13"/>
  <c r="L171" i="13"/>
  <c r="L170" i="13"/>
  <c r="L169" i="13"/>
  <c r="L168" i="13"/>
  <c r="G167" i="13"/>
  <c r="F167" i="13"/>
  <c r="F243" i="13" s="1"/>
  <c r="F256" i="13" s="1"/>
  <c r="L166" i="13"/>
  <c r="L165" i="13"/>
  <c r="L164" i="13"/>
  <c r="G163" i="13"/>
  <c r="F163" i="13"/>
  <c r="L163" i="13" s="1"/>
  <c r="L162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49" i="13"/>
  <c r="L148" i="13"/>
  <c r="L147" i="13"/>
  <c r="L146" i="13"/>
  <c r="L145" i="13"/>
  <c r="L144" i="13"/>
  <c r="L143" i="13"/>
  <c r="L142" i="13"/>
  <c r="L141" i="13"/>
  <c r="L140" i="13"/>
  <c r="L139" i="13"/>
  <c r="L138" i="13"/>
  <c r="L137" i="13"/>
  <c r="L136" i="13"/>
  <c r="L135" i="13"/>
  <c r="L134" i="13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6" i="13"/>
  <c r="L115" i="13"/>
  <c r="G114" i="13"/>
  <c r="L114" i="13" s="1"/>
  <c r="G113" i="13"/>
  <c r="L113" i="13" s="1"/>
  <c r="H112" i="13"/>
  <c r="L112" i="13" s="1"/>
  <c r="G112" i="13"/>
  <c r="L111" i="13"/>
  <c r="L110" i="13"/>
  <c r="L109" i="13"/>
  <c r="L108" i="13"/>
  <c r="G107" i="13"/>
  <c r="L107" i="13" s="1"/>
  <c r="G106" i="13"/>
  <c r="L106" i="13" s="1"/>
  <c r="L105" i="13"/>
  <c r="G104" i="13"/>
  <c r="L104" i="13" s="1"/>
  <c r="F104" i="13"/>
  <c r="L103" i="13"/>
  <c r="H103" i="13"/>
  <c r="G102" i="13"/>
  <c r="F102" i="13"/>
  <c r="L102" i="13" s="1"/>
  <c r="H101" i="13"/>
  <c r="G101" i="13"/>
  <c r="L101" i="13" s="1"/>
  <c r="G100" i="13"/>
  <c r="L100" i="13" s="1"/>
  <c r="L99" i="13"/>
  <c r="L98" i="13"/>
  <c r="L97" i="13"/>
  <c r="I97" i="13"/>
  <c r="G97" i="13"/>
  <c r="L96" i="13"/>
  <c r="H95" i="13"/>
  <c r="G95" i="13"/>
  <c r="L95" i="13" s="1"/>
  <c r="L94" i="13"/>
  <c r="L93" i="13"/>
  <c r="G92" i="13"/>
  <c r="L92" i="13" s="1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H70" i="13"/>
  <c r="G70" i="13"/>
  <c r="L70" i="13" s="1"/>
  <c r="F70" i="13"/>
  <c r="L69" i="13"/>
  <c r="G69" i="13"/>
  <c r="L68" i="13"/>
  <c r="L67" i="13"/>
  <c r="G66" i="13"/>
  <c r="L66" i="13" s="1"/>
  <c r="L65" i="13"/>
  <c r="L64" i="13"/>
  <c r="H63" i="13"/>
  <c r="H240" i="13" s="1"/>
  <c r="G63" i="13"/>
  <c r="L63" i="13" s="1"/>
  <c r="E62" i="13"/>
  <c r="L62" i="13" s="1"/>
  <c r="L61" i="13"/>
  <c r="E61" i="13"/>
  <c r="L59" i="13"/>
  <c r="G58" i="13"/>
  <c r="L58" i="13" s="1"/>
  <c r="L57" i="13"/>
  <c r="L56" i="13"/>
  <c r="I55" i="13"/>
  <c r="I243" i="13" s="1"/>
  <c r="I256" i="13" s="1"/>
  <c r="G55" i="13"/>
  <c r="G243" i="13" s="1"/>
  <c r="G256" i="13" s="1"/>
  <c r="F55" i="13"/>
  <c r="L54" i="13"/>
  <c r="G54" i="13"/>
  <c r="F54" i="13"/>
  <c r="L53" i="13"/>
  <c r="G52" i="13"/>
  <c r="G240" i="13" s="1"/>
  <c r="F52" i="13"/>
  <c r="L52" i="13" s="1"/>
  <c r="L51" i="13"/>
  <c r="L50" i="13"/>
  <c r="L49" i="13"/>
  <c r="L48" i="13"/>
  <c r="L47" i="13"/>
  <c r="L46" i="13"/>
  <c r="G46" i="13"/>
  <c r="F46" i="13"/>
  <c r="L45" i="13"/>
  <c r="E44" i="13"/>
  <c r="E245" i="13" s="1"/>
  <c r="L245" i="13" s="1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5" i="13" l="1"/>
  <c r="L240" i="13" s="1"/>
  <c r="H243" i="13"/>
  <c r="H256" i="13" s="1"/>
  <c r="E256" i="13"/>
  <c r="F240" i="13"/>
  <c r="L44" i="13"/>
  <c r="I240" i="13"/>
  <c r="L167" i="13"/>
  <c r="L243" i="13" l="1"/>
  <c r="L256" i="13" l="1"/>
  <c r="M243" i="13"/>
  <c r="M256" i="13" l="1"/>
  <c r="M251" i="13"/>
  <c r="M255" i="13"/>
  <c r="M245" i="13"/>
  <c r="M247" i="13"/>
  <c r="M249" i="13"/>
  <c r="M253" i="13"/>
  <c r="M37" i="2" l="1"/>
  <c r="M26" i="2"/>
  <c r="M21" i="2"/>
  <c r="M12" i="2"/>
  <c r="A47" i="10"/>
  <c r="A44" i="10"/>
  <c r="D41" i="10"/>
  <c r="A41" i="10"/>
  <c r="E36" i="10"/>
  <c r="E19" i="10"/>
  <c r="E29" i="10"/>
  <c r="I23" i="3"/>
  <c r="I22" i="3"/>
  <c r="C56" i="6"/>
  <c r="B56" i="6"/>
  <c r="T26" i="5"/>
  <c r="O68" i="1"/>
  <c r="O69" i="1"/>
  <c r="O70" i="1"/>
  <c r="O71" i="1"/>
  <c r="O72" i="1"/>
  <c r="O74" i="1"/>
  <c r="O75" i="1"/>
  <c r="O76" i="1"/>
  <c r="O77" i="1"/>
  <c r="O84" i="1"/>
  <c r="O85" i="1"/>
  <c r="O86" i="1"/>
  <c r="O87" i="1"/>
  <c r="O88" i="1"/>
  <c r="O89" i="1"/>
  <c r="O90" i="1"/>
  <c r="O91" i="1"/>
  <c r="O92" i="1"/>
  <c r="O93" i="1"/>
  <c r="O94" i="1"/>
  <c r="O95" i="1"/>
  <c r="M84" i="1"/>
  <c r="L84" i="1"/>
  <c r="M72" i="1"/>
  <c r="L72" i="1"/>
  <c r="M79" i="1"/>
  <c r="M70" i="1"/>
  <c r="M68" i="1"/>
  <c r="M85" i="1"/>
  <c r="L85" i="1"/>
  <c r="L77" i="1"/>
  <c r="L86" i="1"/>
  <c r="H10" i="12"/>
  <c r="C26" i="4"/>
  <c r="E67" i="7" l="1"/>
  <c r="E56" i="7"/>
  <c r="B56" i="7"/>
  <c r="E38" i="7"/>
  <c r="B38" i="7"/>
  <c r="E26" i="7"/>
  <c r="B26" i="7"/>
  <c r="E119" i="7"/>
  <c r="D33" i="11"/>
  <c r="L42" i="2" l="1"/>
  <c r="L37" i="2"/>
  <c r="L26" i="2"/>
  <c r="L21" i="2"/>
  <c r="K86" i="1"/>
  <c r="K96" i="1" s="1"/>
  <c r="K85" i="1"/>
  <c r="J85" i="1"/>
  <c r="K68" i="1"/>
  <c r="K79" i="1" s="1"/>
  <c r="K70" i="1"/>
  <c r="K94" i="1"/>
  <c r="E107" i="7"/>
  <c r="E98" i="7"/>
  <c r="E89" i="7"/>
  <c r="E80" i="7"/>
  <c r="E46" i="7"/>
  <c r="E14" i="7"/>
  <c r="K12" i="14"/>
  <c r="B107" i="7"/>
  <c r="E23" i="4"/>
  <c r="K37" i="2" l="1"/>
  <c r="K26" i="2"/>
  <c r="K21" i="2"/>
  <c r="K12" i="2"/>
  <c r="I85" i="1"/>
  <c r="H85" i="1"/>
  <c r="I94" i="1"/>
  <c r="I68" i="1"/>
  <c r="I86" i="1"/>
  <c r="H86" i="1"/>
  <c r="J40" i="2" l="1"/>
  <c r="J37" i="2"/>
  <c r="J21" i="2"/>
  <c r="J12" i="2"/>
  <c r="J12" i="14" l="1"/>
  <c r="G86" i="1"/>
  <c r="F86" i="1"/>
  <c r="G85" i="1"/>
  <c r="G96" i="1" s="1"/>
  <c r="F85" i="1"/>
  <c r="G70" i="1"/>
  <c r="G68" i="1"/>
  <c r="G79" i="1" s="1"/>
  <c r="G98" i="1" s="1"/>
  <c r="T23" i="5" s="1"/>
  <c r="B89" i="7" l="1"/>
  <c r="N89" i="7" l="1"/>
  <c r="F89" i="7"/>
  <c r="I37" i="2" l="1"/>
  <c r="I32" i="2"/>
  <c r="I26" i="2"/>
  <c r="I21" i="2"/>
  <c r="I12" i="2"/>
  <c r="D84" i="1"/>
  <c r="E84" i="1"/>
  <c r="E72" i="1"/>
  <c r="D72" i="1"/>
  <c r="E94" i="1"/>
  <c r="E68" i="1"/>
  <c r="E85" i="1"/>
  <c r="D85" i="1"/>
  <c r="E91" i="1"/>
  <c r="O20" i="12" l="1"/>
  <c r="H37" i="2" l="1"/>
  <c r="H21" i="2"/>
  <c r="H22" i="2"/>
  <c r="H12" i="2"/>
  <c r="C84" i="1"/>
  <c r="C71" i="1"/>
  <c r="C94" i="1"/>
  <c r="C86" i="1"/>
  <c r="B86" i="1"/>
  <c r="C85" i="1"/>
  <c r="B85" i="1"/>
  <c r="C68" i="1"/>
  <c r="C91" i="1"/>
  <c r="C89" i="1"/>
  <c r="G37" i="2" l="1"/>
  <c r="G31" i="2"/>
  <c r="G40" i="2" s="1"/>
  <c r="G26" i="2" l="1"/>
  <c r="G21" i="2"/>
  <c r="G22" i="2"/>
  <c r="G12" i="2"/>
  <c r="O35" i="1"/>
  <c r="O37" i="1"/>
  <c r="M30" i="1"/>
  <c r="L30" i="1"/>
  <c r="M29" i="1"/>
  <c r="L29" i="1"/>
  <c r="M36" i="1"/>
  <c r="M12" i="1"/>
  <c r="K12" i="1" l="1"/>
  <c r="F31" i="2" l="1"/>
  <c r="F37" i="2"/>
  <c r="F26" i="2"/>
  <c r="F21" i="2"/>
  <c r="F12" i="2"/>
  <c r="K28" i="1" l="1"/>
  <c r="J28" i="1"/>
  <c r="K36" i="1"/>
  <c r="B46" i="7"/>
  <c r="D30" i="11" l="1"/>
  <c r="E31" i="2" l="1"/>
  <c r="E37" i="2"/>
  <c r="E26" i="2"/>
  <c r="E21" i="2"/>
  <c r="E12" i="2"/>
  <c r="I28" i="1"/>
  <c r="H28" i="1"/>
  <c r="I12" i="1"/>
  <c r="F38" i="7" l="1"/>
  <c r="N38" i="7"/>
  <c r="D37" i="2"/>
  <c r="D26" i="2"/>
  <c r="D21" i="2"/>
  <c r="C21" i="2"/>
  <c r="D12" i="2"/>
  <c r="G28" i="1"/>
  <c r="F28" i="1"/>
  <c r="G30" i="1"/>
  <c r="F30" i="1"/>
  <c r="G29" i="1"/>
  <c r="F29" i="1"/>
  <c r="G36" i="1"/>
  <c r="G33" i="1"/>
  <c r="O33" i="1" s="1"/>
  <c r="G13" i="1"/>
  <c r="G12" i="1"/>
  <c r="N42" i="2" l="1"/>
  <c r="C42" i="2"/>
  <c r="C31" i="2"/>
  <c r="C37" i="2"/>
  <c r="C26" i="2"/>
  <c r="C12" i="2"/>
  <c r="N19" i="1"/>
  <c r="P35" i="1"/>
  <c r="O32" i="1"/>
  <c r="O31" i="1"/>
  <c r="N37" i="1"/>
  <c r="O19" i="1"/>
  <c r="P75" i="1" s="1"/>
  <c r="E28" i="1"/>
  <c r="D28" i="1"/>
  <c r="E30" i="1"/>
  <c r="D30" i="1"/>
  <c r="E29" i="1"/>
  <c r="D29" i="1"/>
  <c r="E34" i="1"/>
  <c r="O34" i="1" s="1"/>
  <c r="E12" i="1"/>
  <c r="B14" i="7"/>
  <c r="N14" i="7"/>
  <c r="P34" i="1" l="1"/>
  <c r="B20" i="11"/>
  <c r="B40" i="2" l="1"/>
  <c r="B31" i="2"/>
  <c r="B37" i="2"/>
  <c r="B26" i="2"/>
  <c r="B21" i="2"/>
  <c r="B12" i="2"/>
  <c r="C28" i="1" l="1"/>
  <c r="O28" i="1" s="1"/>
  <c r="B28" i="1"/>
  <c r="N28" i="1" s="1"/>
  <c r="C30" i="1"/>
  <c r="O30" i="1" s="1"/>
  <c r="B30" i="1"/>
  <c r="N30" i="1" s="1"/>
  <c r="C29" i="1"/>
  <c r="O29" i="1" s="1"/>
  <c r="P85" i="1" s="1"/>
  <c r="B29" i="1"/>
  <c r="N29" i="1" s="1"/>
  <c r="C36" i="1"/>
  <c r="O36" i="1" s="1"/>
  <c r="B32" i="12"/>
  <c r="M31" i="2" l="1"/>
  <c r="M11" i="2"/>
  <c r="M29" i="2" s="1"/>
  <c r="N92" i="1"/>
  <c r="L96" i="1"/>
  <c r="B120" i="7"/>
  <c r="L31" i="2"/>
  <c r="E21" i="3"/>
  <c r="K31" i="2"/>
  <c r="K11" i="2"/>
  <c r="K29" i="2" s="1"/>
  <c r="H96" i="1"/>
  <c r="I79" i="1"/>
  <c r="H79" i="1"/>
  <c r="J31" i="2"/>
  <c r="J11" i="2"/>
  <c r="B34" i="10"/>
  <c r="I31" i="2"/>
  <c r="I11" i="2"/>
  <c r="E96" i="1"/>
  <c r="F18" i="3" s="1"/>
  <c r="D96" i="1"/>
  <c r="E79" i="1"/>
  <c r="D79" i="1"/>
  <c r="H31" i="2"/>
  <c r="H11" i="2"/>
  <c r="H29" i="2" s="1"/>
  <c r="H30" i="2" s="1"/>
  <c r="N87" i="1"/>
  <c r="O78" i="1"/>
  <c r="B96" i="1"/>
  <c r="C79" i="1"/>
  <c r="E17" i="3" s="1"/>
  <c r="C96" i="1"/>
  <c r="B67" i="7"/>
  <c r="G11" i="2"/>
  <c r="L23" i="1"/>
  <c r="M23" i="1"/>
  <c r="E16" i="3" s="1"/>
  <c r="F11" i="2"/>
  <c r="F29" i="2" s="1"/>
  <c r="F30" i="2" s="1"/>
  <c r="K38" i="1"/>
  <c r="F15" i="3" s="1"/>
  <c r="J38" i="1"/>
  <c r="J23" i="1"/>
  <c r="K23" i="1"/>
  <c r="E11" i="2"/>
  <c r="E29" i="2" s="1"/>
  <c r="O13" i="1"/>
  <c r="P69" i="1" s="1"/>
  <c r="O14" i="1"/>
  <c r="O15" i="1"/>
  <c r="E28" i="10"/>
  <c r="P29" i="1"/>
  <c r="H38" i="1"/>
  <c r="O16" i="1"/>
  <c r="H23" i="1"/>
  <c r="D31" i="2"/>
  <c r="D11" i="2"/>
  <c r="D29" i="2" s="1"/>
  <c r="E23" i="10"/>
  <c r="G38" i="1"/>
  <c r="F13" i="3" s="1"/>
  <c r="F38" i="1"/>
  <c r="F23" i="1"/>
  <c r="N13" i="2"/>
  <c r="N14" i="2"/>
  <c r="N15" i="2"/>
  <c r="E12" i="11" s="1"/>
  <c r="N16" i="2"/>
  <c r="N17" i="2"/>
  <c r="E13" i="11" s="1"/>
  <c r="N18" i="2"/>
  <c r="N19" i="2"/>
  <c r="E14" i="11" s="1"/>
  <c r="N20" i="2"/>
  <c r="N22" i="2"/>
  <c r="N23" i="2"/>
  <c r="N24" i="2"/>
  <c r="E16" i="11" s="1"/>
  <c r="N25" i="2"/>
  <c r="N27" i="2"/>
  <c r="N28" i="2"/>
  <c r="C11" i="2"/>
  <c r="E25" i="10"/>
  <c r="D38" i="1"/>
  <c r="D23" i="1"/>
  <c r="E23" i="1"/>
  <c r="B20" i="10"/>
  <c r="C38" i="1"/>
  <c r="B38" i="1"/>
  <c r="C23" i="1"/>
  <c r="E11" i="3" s="1"/>
  <c r="B132" i="7"/>
  <c r="B98" i="7"/>
  <c r="B80" i="7"/>
  <c r="N36" i="2"/>
  <c r="N35" i="2"/>
  <c r="N34" i="2"/>
  <c r="N33" i="2"/>
  <c r="N80" i="7"/>
  <c r="N34" i="1"/>
  <c r="N91" i="1" s="1"/>
  <c r="E31" i="10"/>
  <c r="O20" i="1"/>
  <c r="O17" i="1"/>
  <c r="N85" i="1"/>
  <c r="I38" i="1"/>
  <c r="F14" i="3" s="1"/>
  <c r="F27" i="5"/>
  <c r="J27" i="5"/>
  <c r="J30" i="5"/>
  <c r="M27" i="5"/>
  <c r="M30" i="5" s="1"/>
  <c r="Q27" i="5"/>
  <c r="N17" i="1"/>
  <c r="N73" i="1" s="1"/>
  <c r="G23" i="1"/>
  <c r="E13" i="3" s="1"/>
  <c r="L11" i="2"/>
  <c r="L29" i="2" s="1"/>
  <c r="B79" i="1"/>
  <c r="E22" i="3"/>
  <c r="M96" i="1"/>
  <c r="E120" i="7"/>
  <c r="O27" i="1"/>
  <c r="I96" i="1"/>
  <c r="F20" i="3" s="1"/>
  <c r="O18" i="1"/>
  <c r="N71" i="1"/>
  <c r="N74" i="1"/>
  <c r="N32" i="1"/>
  <c r="N88" i="1" s="1"/>
  <c r="N35" i="1"/>
  <c r="N36" i="1"/>
  <c r="N93" i="1" s="1"/>
  <c r="D12" i="3"/>
  <c r="D13" i="3"/>
  <c r="D14" i="3"/>
  <c r="D15" i="3"/>
  <c r="D16" i="3"/>
  <c r="D17" i="3"/>
  <c r="D18" i="3"/>
  <c r="D19" i="3"/>
  <c r="D20" i="3"/>
  <c r="D21" i="3"/>
  <c r="D22" i="3"/>
  <c r="D11" i="3"/>
  <c r="L79" i="1"/>
  <c r="N27" i="1"/>
  <c r="N38" i="1" s="1"/>
  <c r="B19" i="11"/>
  <c r="O22" i="1"/>
  <c r="O21" i="1"/>
  <c r="J96" i="1"/>
  <c r="N20" i="1"/>
  <c r="N76" i="1" s="1"/>
  <c r="C23" i="3"/>
  <c r="B23" i="3"/>
  <c r="K27" i="5"/>
  <c r="K30" i="5"/>
  <c r="N22" i="1"/>
  <c r="N75" i="1"/>
  <c r="B27" i="5"/>
  <c r="D27" i="5"/>
  <c r="E27" i="5"/>
  <c r="G27" i="5"/>
  <c r="H27" i="5"/>
  <c r="I27" i="5"/>
  <c r="N68" i="1"/>
  <c r="N69" i="1"/>
  <c r="N70" i="1"/>
  <c r="N21" i="1"/>
  <c r="N77" i="1" s="1"/>
  <c r="J79" i="1"/>
  <c r="L27" i="5"/>
  <c r="L30" i="5"/>
  <c r="F79" i="1"/>
  <c r="N27" i="5"/>
  <c r="N30" i="5" s="1"/>
  <c r="F21" i="3"/>
  <c r="O27" i="5"/>
  <c r="O30" i="5"/>
  <c r="P27" i="5"/>
  <c r="P30" i="5" s="1"/>
  <c r="B10" i="6"/>
  <c r="C10" i="6" s="1"/>
  <c r="B12" i="6"/>
  <c r="C12" i="6" s="1"/>
  <c r="B16" i="6"/>
  <c r="C16" i="6" s="1"/>
  <c r="B18" i="6"/>
  <c r="C18" i="6" s="1"/>
  <c r="B13" i="6"/>
  <c r="C13" i="6" s="1"/>
  <c r="B14" i="6"/>
  <c r="C14" i="6" s="1"/>
  <c r="B17" i="6"/>
  <c r="C17" i="6" s="1"/>
  <c r="B11" i="6"/>
  <c r="C11" i="6" s="1"/>
  <c r="B15" i="6"/>
  <c r="C15" i="6" s="1"/>
  <c r="B19" i="6"/>
  <c r="C19" i="6" s="1"/>
  <c r="B20" i="6"/>
  <c r="C20" i="6" s="1"/>
  <c r="Q30" i="5"/>
  <c r="L38" i="1"/>
  <c r="B23" i="1"/>
  <c r="B21" i="6"/>
  <c r="C21" i="6" s="1"/>
  <c r="B26" i="6"/>
  <c r="C26" i="6" s="1"/>
  <c r="B24" i="6"/>
  <c r="C24" i="6" s="1"/>
  <c r="B22" i="6"/>
  <c r="C22" i="6" s="1"/>
  <c r="B25" i="6"/>
  <c r="C25" i="6" s="1"/>
  <c r="B23" i="6"/>
  <c r="C23" i="6" s="1"/>
  <c r="B29" i="6"/>
  <c r="C29" i="6" s="1"/>
  <c r="B30" i="6"/>
  <c r="C30" i="6" s="1"/>
  <c r="B31" i="6"/>
  <c r="C31" i="6" s="1"/>
  <c r="B28" i="6"/>
  <c r="C28" i="6" s="1"/>
  <c r="R27" i="5"/>
  <c r="B32" i="6" s="1"/>
  <c r="C32" i="6" s="1"/>
  <c r="R30" i="5"/>
  <c r="B27" i="6"/>
  <c r="C27" i="6" s="1"/>
  <c r="F10" i="12"/>
  <c r="E19" i="3"/>
  <c r="C12" i="12" l="1"/>
  <c r="E133" i="7"/>
  <c r="H12" i="12"/>
  <c r="F120" i="7"/>
  <c r="C13" i="12" s="1"/>
  <c r="N120" i="7"/>
  <c r="M40" i="2"/>
  <c r="O83" i="1"/>
  <c r="O38" i="1"/>
  <c r="P17" i="1"/>
  <c r="O73" i="1"/>
  <c r="P14" i="1"/>
  <c r="P70" i="1"/>
  <c r="F17" i="3"/>
  <c r="C98" i="1"/>
  <c r="P21" i="1"/>
  <c r="B98" i="1"/>
  <c r="E14" i="10"/>
  <c r="P74" i="1"/>
  <c r="P18" i="1"/>
  <c r="E17" i="10"/>
  <c r="P71" i="1"/>
  <c r="P15" i="1"/>
  <c r="E15" i="10"/>
  <c r="P76" i="1"/>
  <c r="D24" i="4"/>
  <c r="E24" i="4" s="1"/>
  <c r="F12" i="12"/>
  <c r="N107" i="7"/>
  <c r="F107" i="7"/>
  <c r="N98" i="7"/>
  <c r="F98" i="7"/>
  <c r="D20" i="4"/>
  <c r="E20" i="4" s="1"/>
  <c r="F80" i="7"/>
  <c r="F67" i="7"/>
  <c r="N67" i="7"/>
  <c r="N56" i="7"/>
  <c r="F56" i="7"/>
  <c r="N26" i="7"/>
  <c r="F46" i="7"/>
  <c r="N46" i="7"/>
  <c r="H40" i="1"/>
  <c r="D19" i="4"/>
  <c r="E19" i="4" s="1"/>
  <c r="F26" i="7"/>
  <c r="F40" i="1"/>
  <c r="P95" i="1"/>
  <c r="P37" i="1"/>
  <c r="P94" i="1"/>
  <c r="P36" i="1"/>
  <c r="P89" i="1"/>
  <c r="P33" i="1"/>
  <c r="O96" i="1"/>
  <c r="O98" i="1" s="1"/>
  <c r="P32" i="1"/>
  <c r="D40" i="1"/>
  <c r="E26" i="10"/>
  <c r="P13" i="1"/>
  <c r="P20" i="1"/>
  <c r="P19" i="1"/>
  <c r="F14" i="7"/>
  <c r="B35" i="10"/>
  <c r="B36" i="10" s="1"/>
  <c r="D23" i="3"/>
  <c r="G17" i="3"/>
  <c r="I17" i="3" s="1"/>
  <c r="L40" i="1"/>
  <c r="J40" i="1"/>
  <c r="N95" i="1"/>
  <c r="G13" i="3"/>
  <c r="I13" i="3" s="1"/>
  <c r="B40" i="1"/>
  <c r="D22" i="4"/>
  <c r="E22" i="4" s="1"/>
  <c r="D14" i="4"/>
  <c r="D21" i="4"/>
  <c r="E21" i="4" s="1"/>
  <c r="N84" i="1"/>
  <c r="L98" i="1"/>
  <c r="E12" i="3"/>
  <c r="C40" i="1"/>
  <c r="F11" i="3"/>
  <c r="G11" i="3" s="1"/>
  <c r="I11" i="3" s="1"/>
  <c r="E18" i="3"/>
  <c r="G18" i="3" s="1"/>
  <c r="I18" i="3" s="1"/>
  <c r="E98" i="1"/>
  <c r="T22" i="5" s="1"/>
  <c r="I12" i="14" s="1"/>
  <c r="K40" i="1"/>
  <c r="F19" i="3"/>
  <c r="G19" i="3" s="1"/>
  <c r="I19" i="3" s="1"/>
  <c r="G40" i="1"/>
  <c r="D98" i="1"/>
  <c r="H98" i="1"/>
  <c r="E20" i="3"/>
  <c r="G20" i="3" s="1"/>
  <c r="I20" i="3" s="1"/>
  <c r="I98" i="1"/>
  <c r="I23" i="1"/>
  <c r="E15" i="3"/>
  <c r="G15" i="3" s="1"/>
  <c r="I15" i="3" s="1"/>
  <c r="O12" i="1"/>
  <c r="N83" i="1"/>
  <c r="F96" i="1"/>
  <c r="F98" i="1" s="1"/>
  <c r="M38" i="1"/>
  <c r="F16" i="3" s="1"/>
  <c r="N16" i="1"/>
  <c r="N86" i="1"/>
  <c r="E16" i="10"/>
  <c r="E38" i="1"/>
  <c r="F12" i="3" s="1"/>
  <c r="M98" i="1"/>
  <c r="F22" i="3"/>
  <c r="G22" i="3" s="1"/>
  <c r="D15" i="4"/>
  <c r="E15" i="4" s="1"/>
  <c r="D16" i="4"/>
  <c r="E16" i="4" s="1"/>
  <c r="D17" i="4"/>
  <c r="E17" i="4" s="1"/>
  <c r="D18" i="4"/>
  <c r="E18" i="4" s="1"/>
  <c r="N12" i="2"/>
  <c r="I29" i="2"/>
  <c r="I40" i="2" s="1"/>
  <c r="N26" i="2"/>
  <c r="E17" i="11" s="1"/>
  <c r="N21" i="2"/>
  <c r="E15" i="11" s="1"/>
  <c r="N37" i="2"/>
  <c r="G29" i="2"/>
  <c r="J29" i="2"/>
  <c r="J30" i="2" s="1"/>
  <c r="F40" i="2"/>
  <c r="K30" i="2"/>
  <c r="K40" i="2"/>
  <c r="M30" i="2"/>
  <c r="C29" i="2"/>
  <c r="E40" i="2"/>
  <c r="E30" i="2"/>
  <c r="D40" i="2"/>
  <c r="D30" i="2"/>
  <c r="H40" i="2"/>
  <c r="N32" i="2"/>
  <c r="B11" i="2"/>
  <c r="B29" i="2" s="1"/>
  <c r="L30" i="2"/>
  <c r="L40" i="2"/>
  <c r="J98" i="1"/>
  <c r="K98" i="1"/>
  <c r="G21" i="3"/>
  <c r="I21" i="3" s="1"/>
  <c r="F133" i="7" l="1"/>
  <c r="H13" i="12"/>
  <c r="D26" i="4"/>
  <c r="D27" i="4" s="1"/>
  <c r="T25" i="5"/>
  <c r="L12" i="14" s="1"/>
  <c r="D12" i="14"/>
  <c r="T17" i="5"/>
  <c r="P12" i="1"/>
  <c r="P68" i="1"/>
  <c r="F12" i="14"/>
  <c r="T19" i="5"/>
  <c r="T24" i="5"/>
  <c r="H12" i="14"/>
  <c r="T21" i="5"/>
  <c r="N31" i="2"/>
  <c r="E18" i="11" s="1"/>
  <c r="I30" i="2"/>
  <c r="E18" i="10"/>
  <c r="O79" i="1"/>
  <c r="E14" i="4"/>
  <c r="P73" i="1"/>
  <c r="E24" i="10"/>
  <c r="E13" i="10"/>
  <c r="F13" i="12"/>
  <c r="E27" i="10"/>
  <c r="E32" i="10"/>
  <c r="P38" i="1"/>
  <c r="E22" i="10"/>
  <c r="P91" i="1"/>
  <c r="P96" i="1" s="1"/>
  <c r="E30" i="10"/>
  <c r="P23" i="1"/>
  <c r="E12" i="10"/>
  <c r="T15" i="5"/>
  <c r="G30" i="2"/>
  <c r="N96" i="1"/>
  <c r="F23" i="3"/>
  <c r="C16" i="15"/>
  <c r="I40" i="1"/>
  <c r="T18" i="5" s="1"/>
  <c r="E12" i="14" s="1"/>
  <c r="E14" i="3"/>
  <c r="G12" i="3"/>
  <c r="I12" i="3" s="1"/>
  <c r="O23" i="1"/>
  <c r="O40" i="1" s="1"/>
  <c r="E40" i="1"/>
  <c r="T16" i="5" s="1"/>
  <c r="C12" i="14" s="1"/>
  <c r="B33" i="6"/>
  <c r="C33" i="6" s="1"/>
  <c r="G16" i="3"/>
  <c r="I16" i="3" s="1"/>
  <c r="N23" i="1"/>
  <c r="N40" i="1" s="1"/>
  <c r="N72" i="1"/>
  <c r="N79" i="1" s="1"/>
  <c r="M40" i="1"/>
  <c r="T20" i="5" s="1"/>
  <c r="N29" i="2"/>
  <c r="N11" i="2"/>
  <c r="E11" i="11" s="1"/>
  <c r="N40" i="2"/>
  <c r="C40" i="2"/>
  <c r="C30" i="2"/>
  <c r="O134" i="7" l="1"/>
  <c r="E134" i="7" s="1"/>
  <c r="H19" i="12"/>
  <c r="B55" i="6"/>
  <c r="B53" i="6"/>
  <c r="C53" i="6" s="1"/>
  <c r="B52" i="6"/>
  <c r="C52" i="6" s="1"/>
  <c r="B51" i="6"/>
  <c r="C51" i="6" s="1"/>
  <c r="B50" i="6"/>
  <c r="C50" i="6" s="1"/>
  <c r="B49" i="6"/>
  <c r="C49" i="6" s="1"/>
  <c r="B48" i="6"/>
  <c r="C48" i="6" s="1"/>
  <c r="B47" i="6"/>
  <c r="C47" i="6" s="1"/>
  <c r="B46" i="6"/>
  <c r="C46" i="6" s="1"/>
  <c r="F41" i="10"/>
  <c r="O33" i="2"/>
  <c r="O23" i="2"/>
  <c r="O37" i="2"/>
  <c r="O35" i="2"/>
  <c r="O34" i="2"/>
  <c r="O32" i="2"/>
  <c r="O24" i="2"/>
  <c r="O22" i="2"/>
  <c r="O19" i="2"/>
  <c r="O17" i="2"/>
  <c r="O15" i="2"/>
  <c r="O36" i="2"/>
  <c r="O12" i="2"/>
  <c r="O26" i="2"/>
  <c r="O14" i="2"/>
  <c r="O13" i="2"/>
  <c r="E34" i="10"/>
  <c r="P40" i="1"/>
  <c r="B45" i="6"/>
  <c r="T27" i="5"/>
  <c r="N98" i="1"/>
  <c r="F14" i="12"/>
  <c r="C15" i="15"/>
  <c r="C26" i="15" s="1"/>
  <c r="P79" i="1"/>
  <c r="P98" i="1" s="1"/>
  <c r="E11" i="10"/>
  <c r="E20" i="10" s="1"/>
  <c r="H14" i="12"/>
  <c r="G14" i="3"/>
  <c r="I14" i="3" s="1"/>
  <c r="E23" i="3"/>
  <c r="E19" i="11"/>
  <c r="F19" i="12"/>
  <c r="G30" i="11"/>
  <c r="G27" i="11"/>
  <c r="B30" i="2"/>
  <c r="N30" i="2" s="1"/>
  <c r="F134" i="7" l="1"/>
  <c r="C55" i="6"/>
  <c r="T30" i="5"/>
  <c r="B54" i="6"/>
  <c r="C54" i="6" s="1"/>
  <c r="H29" i="12"/>
  <c r="F20" i="11"/>
  <c r="E35" i="10"/>
  <c r="C45" i="6"/>
  <c r="G23" i="3"/>
  <c r="B39" i="6"/>
  <c r="C39" i="6" s="1"/>
  <c r="B41" i="6"/>
  <c r="C41" i="6" s="1"/>
  <c r="B36" i="6"/>
  <c r="C36" i="6" s="1"/>
  <c r="S27" i="5"/>
  <c r="B37" i="6"/>
  <c r="C37" i="6" s="1"/>
  <c r="B34" i="6"/>
  <c r="C34" i="6" s="1"/>
  <c r="B35" i="6"/>
  <c r="C35" i="6" s="1"/>
  <c r="B42" i="6"/>
  <c r="C42" i="6" s="1"/>
  <c r="B38" i="6"/>
  <c r="C38" i="6" s="1"/>
  <c r="B40" i="6"/>
  <c r="C40" i="6" s="1"/>
  <c r="B43" i="6"/>
  <c r="F36" i="10" l="1"/>
  <c r="D44" i="10"/>
  <c r="F44" i="10" s="1"/>
  <c r="S30" i="5"/>
  <c r="B44" i="6"/>
  <c r="C43" i="6"/>
  <c r="C44" i="6" l="1"/>
</calcChain>
</file>

<file path=xl/sharedStrings.xml><?xml version="1.0" encoding="utf-8"?>
<sst xmlns="http://schemas.openxmlformats.org/spreadsheetml/2006/main" count="1438" uniqueCount="719">
  <si>
    <t>MESES</t>
  </si>
  <si>
    <t xml:space="preserve">  J A N E I R O </t>
  </si>
  <si>
    <t xml:space="preserve"> F E V E R E I R O</t>
  </si>
  <si>
    <t xml:space="preserve">    M  A  R  Ç  O</t>
  </si>
  <si>
    <t xml:space="preserve">   A  B  R  I  L</t>
  </si>
  <si>
    <t xml:space="preserve">      M  A  I  O  </t>
  </si>
  <si>
    <t xml:space="preserve">  J  U  N  H  O  </t>
  </si>
  <si>
    <t xml:space="preserve">   TOTAL   ACUMULADO</t>
  </si>
  <si>
    <t>QTDE</t>
  </si>
  <si>
    <t>PESO</t>
  </si>
  <si>
    <t xml:space="preserve"> SUBTOTAL =====&gt;</t>
  </si>
  <si>
    <t>EXPORTAÇ/CARGA</t>
  </si>
  <si>
    <t xml:space="preserve"> </t>
  </si>
  <si>
    <t xml:space="preserve"> TOTAIS MENSAIS</t>
  </si>
  <si>
    <t>J U L H O</t>
  </si>
  <si>
    <t>A G O S T O</t>
  </si>
  <si>
    <t>JANEIRO</t>
  </si>
  <si>
    <t>FEVEREIRO</t>
  </si>
  <si>
    <t>MARÇO</t>
  </si>
  <si>
    <t>TOTAL ACUMULADO</t>
  </si>
  <si>
    <t>VEÍCULOS</t>
  </si>
  <si>
    <t>BARRILHA A GRANEL</t>
  </si>
  <si>
    <t>MALTE A GRANEL</t>
  </si>
  <si>
    <t>CEVADA A GRANEL</t>
  </si>
  <si>
    <t>IMPORTAÇÃO/DESCARGA</t>
  </si>
  <si>
    <t>ANIMAIS VIVOS</t>
  </si>
  <si>
    <t>SULFATO DE SÓDIO GR.</t>
  </si>
  <si>
    <t>CHAPAS DE AÇO</t>
  </si>
  <si>
    <t>S E T E M B R O</t>
  </si>
  <si>
    <t>O U T U B R O</t>
  </si>
  <si>
    <t>N O V E M B R O</t>
  </si>
  <si>
    <t>D E Z E M B R O</t>
  </si>
  <si>
    <t>JULHO</t>
  </si>
  <si>
    <t>AGOSTO</t>
  </si>
  <si>
    <t>SETEMBRO</t>
  </si>
  <si>
    <t>OUTUBRO</t>
  </si>
  <si>
    <t>NOVEMBRO</t>
  </si>
  <si>
    <t>DEZEMBRO</t>
  </si>
  <si>
    <t>CONTEINER 40"</t>
  </si>
  <si>
    <t>RESSAR.DESPESAS:</t>
  </si>
  <si>
    <t>Balança</t>
  </si>
  <si>
    <t>Energia Elétrica</t>
  </si>
  <si>
    <t>Água</t>
  </si>
  <si>
    <t>Infra Estrutura Terrestre</t>
  </si>
  <si>
    <t>TABELA III</t>
  </si>
  <si>
    <t>Atracação</t>
  </si>
  <si>
    <t>TABELA II</t>
  </si>
  <si>
    <t>TABELA I</t>
  </si>
  <si>
    <t>TOTAL EM R$</t>
  </si>
  <si>
    <t>JUNHO</t>
  </si>
  <si>
    <t>MAIO</t>
  </si>
  <si>
    <t>ABRIL</t>
  </si>
  <si>
    <t>ÍTEM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</si>
  <si>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</si>
  <si>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</si>
  <si>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</si>
  <si>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</si>
  <si>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</si>
  <si>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</si>
  <si>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</si>
  <si>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</si>
  <si>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</si>
  <si>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</si>
  <si>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</si>
  <si>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</si>
  <si>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em  %</t>
  </si>
  <si>
    <t>TOTAL</t>
  </si>
  <si>
    <t>Exportação/ Carga</t>
  </si>
  <si>
    <t>Importação/ Descarga</t>
  </si>
  <si>
    <t>M Ê S</t>
  </si>
  <si>
    <t>Variação</t>
  </si>
  <si>
    <t xml:space="preserve">  EM TONELADAS</t>
  </si>
  <si>
    <t>EXPORTAÇÃO / IMPORTAÇÃO</t>
  </si>
  <si>
    <t>MOVIMENTAÇÃO DE CARGAS NO CAIS COMERCIAL</t>
  </si>
  <si>
    <t>QUADRO COMPARATIVO II</t>
  </si>
  <si>
    <t xml:space="preserve">VARIAÇÃO </t>
  </si>
  <si>
    <t>NAVIOS LONGO CURSO E CABOTAGEM EM DIAS</t>
  </si>
  <si>
    <t>OCUPAÇÃO DO BERÇO 101 - PORTO S.S.</t>
  </si>
  <si>
    <t>LEGENDA</t>
  </si>
  <si>
    <t>MÊS</t>
  </si>
  <si>
    <t>ANO</t>
  </si>
  <si>
    <t>MOVIMENTAÇÃO DE CARGAS NO PORTO DE SÃO SEBASTIÃO</t>
  </si>
  <si>
    <t xml:space="preserve">inicial </t>
  </si>
  <si>
    <t>MÉDIA MENSAL</t>
  </si>
  <si>
    <t>TOTAL ACUMUL. 12 MESES</t>
  </si>
  <si>
    <t>PERÍODO APURADO</t>
  </si>
  <si>
    <t>MOVIMENTAÇÃO DE CARGAS NO PORTO DE SÃO SEBASTIÃO - MÉDIAS MÓVEIS</t>
  </si>
  <si>
    <t>EM DIAS</t>
  </si>
  <si>
    <t>OCUPAÇÃO</t>
  </si>
  <si>
    <t>ATRACADO</t>
  </si>
  <si>
    <t xml:space="preserve">N A V I O </t>
  </si>
  <si>
    <t>TEMPO (DIAS)</t>
  </si>
  <si>
    <t>PERÍODO</t>
  </si>
  <si>
    <t>NOME DO</t>
  </si>
  <si>
    <t>PERÍODOS DE OCUPAÇÃO  -  BERÇO 101  /  LONGO CURSO e CABOTAGEM</t>
  </si>
  <si>
    <t>VARIAÇÃO %</t>
  </si>
  <si>
    <t>COMPARATIVOS E VARIAÇÕES PERCENTUAIS</t>
  </si>
  <si>
    <t>média mensal</t>
  </si>
  <si>
    <t>TOTAL GERAL</t>
  </si>
  <si>
    <t>SUBTOTAL</t>
  </si>
  <si>
    <t>Animais Vivos</t>
  </si>
  <si>
    <t>Exportações/carregamentos</t>
  </si>
  <si>
    <t>Malte e Cevada granel</t>
  </si>
  <si>
    <t>Sulfato Sódio granel</t>
  </si>
  <si>
    <t>Barrilha granel</t>
  </si>
  <si>
    <t>Importações/descargas</t>
  </si>
  <si>
    <t>DADOS EM TONELADAS MOVIMENTADAS</t>
  </si>
  <si>
    <t>PORTO DE SÃO SEBASTIÃO - Quadros comparativos</t>
  </si>
  <si>
    <t>RECEITAS FINANC.</t>
  </si>
  <si>
    <t>TAB III</t>
  </si>
  <si>
    <t>TAB II</t>
  </si>
  <si>
    <t>TAB I - canal/ cais</t>
  </si>
  <si>
    <t>DADOS EM R$</t>
  </si>
  <si>
    <t>MÉDIA MENSAL FATURAMENTO</t>
  </si>
  <si>
    <t>Mês Atual</t>
  </si>
  <si>
    <t>RECEITAS FATURADAS</t>
  </si>
  <si>
    <t>MÉDIA MENSAL MOV. DE CARGAS</t>
  </si>
  <si>
    <t>* cresce a ocupação do berço e reduz, numa lógica positiva, a ociosidade</t>
  </si>
  <si>
    <t>OPERACIONAL</t>
  </si>
  <si>
    <t>Navios Atracados no Mês ( Berço 101 - Principal )</t>
  </si>
  <si>
    <t>Tempo de Ocupação do Cais principal em Dias</t>
  </si>
  <si>
    <t>Total de Cargas Movimentadas no Mês em tons</t>
  </si>
  <si>
    <t>Faturamento no Mês</t>
  </si>
  <si>
    <t xml:space="preserve">Taxas tarifárias </t>
  </si>
  <si>
    <t>SULFATO DE SÓDIO A GRANEL</t>
  </si>
  <si>
    <t>MÁQUINAS/EQUIPAMENTOS</t>
  </si>
  <si>
    <t>APOIO PORTUÁRIO</t>
  </si>
  <si>
    <t>Operação Apoio Portuário</t>
  </si>
  <si>
    <t>Janeiro a dezembro</t>
  </si>
  <si>
    <t>Armazenagem</t>
  </si>
  <si>
    <t>RECEITA OPERACIONAL BRUTA</t>
  </si>
  <si>
    <t>TEMPO VAGO</t>
  </si>
  <si>
    <t>O tempo de ocupação dos berços é calculado em função do somatório de horas de permanência das embarcações, desde a chegada ao Porto e até sua desatra-</t>
  </si>
  <si>
    <r>
      <t>Tempo Vago</t>
    </r>
    <r>
      <rPr>
        <b/>
        <sz val="12"/>
        <color indexed="62"/>
        <rFont val="Calibri"/>
        <family val="2"/>
      </rPr>
      <t xml:space="preserve"> </t>
    </r>
    <r>
      <rPr>
        <sz val="12"/>
        <color indexed="8"/>
        <rFont val="Calibri"/>
        <family val="2"/>
      </rPr>
      <t>do Cais principal em Dias</t>
    </r>
  </si>
  <si>
    <t>Mês Anterior</t>
  </si>
  <si>
    <t>maior média</t>
  </si>
  <si>
    <t>MÉDIA MENSAL ULTIMOS 12 MESES</t>
  </si>
  <si>
    <t>carga movimentada</t>
  </si>
  <si>
    <t>GADO BOVINO VIVO</t>
  </si>
  <si>
    <t>BARRILHA</t>
  </si>
  <si>
    <t>qtde navios</t>
  </si>
  <si>
    <t>cação, convertido em dias ( dividido por 24 horas).</t>
  </si>
  <si>
    <t>ISS DEVIDO</t>
  </si>
  <si>
    <t>EVOLUÇÃO</t>
  </si>
  <si>
    <t>MÁQUINAS E EQUIPAMENTOS</t>
  </si>
  <si>
    <t>RECEITA ARRECADADA</t>
  </si>
  <si>
    <t>RECEITA FATURADA</t>
  </si>
  <si>
    <t>retirada carga em perdimento</t>
  </si>
  <si>
    <t>SILICATO DE SÓDIO VIDRO</t>
  </si>
  <si>
    <t>Silicato de vidro</t>
  </si>
  <si>
    <t>totais</t>
  </si>
  <si>
    <t xml:space="preserve">taxa </t>
  </si>
  <si>
    <t>ocupação</t>
  </si>
  <si>
    <t>NAVIOS</t>
  </si>
  <si>
    <t>açucar em sacas</t>
  </si>
  <si>
    <t>AÇUCAR EM SACOS</t>
  </si>
  <si>
    <t>ociosidade</t>
  </si>
  <si>
    <t>navios tanque petroleo e derivados</t>
  </si>
  <si>
    <t>navios turismo</t>
  </si>
  <si>
    <t>TABELA V</t>
  </si>
  <si>
    <t>navios + barcos apoio cais comercial</t>
  </si>
  <si>
    <t>navios</t>
  </si>
  <si>
    <t xml:space="preserve">dias </t>
  </si>
  <si>
    <t>TABELA VII</t>
  </si>
  <si>
    <t>Presença de carga no SISCOMEX</t>
  </si>
  <si>
    <t>TABELA VIII</t>
  </si>
  <si>
    <t>TABELA IX</t>
  </si>
  <si>
    <t>Guarda de equipamentos próprios + box</t>
  </si>
  <si>
    <t>TAB VII - diversos padron.</t>
  </si>
  <si>
    <t>TAB VIII - uso temporário</t>
  </si>
  <si>
    <t>TAB IX - complementares</t>
  </si>
  <si>
    <t>TAB V - armazenagem</t>
  </si>
  <si>
    <t>arrendamento - TPUR</t>
  </si>
  <si>
    <t>aumento da média</t>
  </si>
  <si>
    <t>março/21 a fevereiro/22</t>
  </si>
  <si>
    <t>ACUMULADO NO ANO - ocupação e ociosidade</t>
  </si>
  <si>
    <t>abril/21 a março/22</t>
  </si>
  <si>
    <t>total anual dias</t>
  </si>
  <si>
    <t>maio/21 a abril/22</t>
  </si>
  <si>
    <t>junho/21 a maio/22</t>
  </si>
  <si>
    <t>AÇUCAR EM SACOS/BAGS</t>
  </si>
  <si>
    <t>julho/21 a junho/22</t>
  </si>
  <si>
    <t>TOTAL ANUAL</t>
  </si>
  <si>
    <t>BARRILHA EM BIG BAGS</t>
  </si>
  <si>
    <t>agosto/21 a julho/22</t>
  </si>
  <si>
    <t>Barrilha em big bags</t>
  </si>
  <si>
    <t>AÇUCAR EM SACAS/BAGS</t>
  </si>
  <si>
    <t>setembro/21 a agosto/22</t>
  </si>
  <si>
    <t>RECEITA OPERACIONAL-CAIS</t>
  </si>
  <si>
    <t>TONELADAS MOVIMENTADAS</t>
  </si>
  <si>
    <t>RECEITA MÉDIA POR TONELADA</t>
  </si>
  <si>
    <t>outubro/21 a setembro/22</t>
  </si>
  <si>
    <t>novembro/21 a outubro/22</t>
  </si>
  <si>
    <t>dezembro/21 a novembro/22</t>
  </si>
  <si>
    <t>RAÇÃO ANIMAL/MEDICAMENTOS</t>
  </si>
  <si>
    <t>janeiro/22 a dezembro/22</t>
  </si>
  <si>
    <t>MAIOR MOVIMENTAÇÃO desde o início gestão CDSS</t>
  </si>
  <si>
    <t>MENOR MOVIMENTAÇÃO desde início gestão CDSS</t>
  </si>
  <si>
    <t>fevereiro/22 a janeiro/23</t>
  </si>
  <si>
    <t>equipamentos</t>
  </si>
  <si>
    <t>reembolso convênio médico</t>
  </si>
  <si>
    <t>taxa média ocupação anual</t>
  </si>
  <si>
    <t>março/22 a fevereiro/23</t>
  </si>
  <si>
    <t>Chapas de aço</t>
  </si>
  <si>
    <t>Meio Ambiente /resíduos/taxa PMSS</t>
  </si>
  <si>
    <t>BARRILHA EM BAGS</t>
  </si>
  <si>
    <t>abril/22 a março/23</t>
  </si>
  <si>
    <t>maio/22 a abril/23</t>
  </si>
  <si>
    <t>junho/22 a maio/23</t>
  </si>
  <si>
    <t>julho/22 a junho/23</t>
  </si>
  <si>
    <t>Aplic. financeiras + crachás + acréscimos</t>
  </si>
  <si>
    <t>CONTÊINER DE 40 PÉS</t>
  </si>
  <si>
    <t>agosto/22 a julho/23</t>
  </si>
  <si>
    <t>setembro/22 a agosto/23</t>
  </si>
  <si>
    <t>Quartzo a granel</t>
  </si>
  <si>
    <t>NF</t>
  </si>
  <si>
    <t>RPS</t>
  </si>
  <si>
    <t>DATA</t>
  </si>
  <si>
    <t>TOMADOR DE SERVIÇOS</t>
  </si>
  <si>
    <t>TABELAS</t>
  </si>
  <si>
    <t>TOTAL NF</t>
  </si>
  <si>
    <t>SERVIÇO</t>
  </si>
  <si>
    <t>I</t>
  </si>
  <si>
    <t>II</t>
  </si>
  <si>
    <t>III</t>
  </si>
  <si>
    <t>V</t>
  </si>
  <si>
    <t>VII</t>
  </si>
  <si>
    <t>VIII</t>
  </si>
  <si>
    <t>IX</t>
  </si>
  <si>
    <t>apoio portuário</t>
  </si>
  <si>
    <t>apoio marítimo</t>
  </si>
  <si>
    <t>acesso+fundeio - nav-tanque</t>
  </si>
  <si>
    <t>EQUIP. PRÓPRIOS + USO BOX</t>
  </si>
  <si>
    <t>CONTR. DE PASSAGEM +TPUR</t>
  </si>
  <si>
    <t>NAVIOS - CAIS COMERCIAL</t>
  </si>
  <si>
    <t>NAVIOS TURISMO</t>
  </si>
  <si>
    <t>outubro/22 a setembro/23</t>
  </si>
  <si>
    <t>COQUE DE PETRÓLEO GRANEL</t>
  </si>
  <si>
    <t>novembro/22 a outubro/23</t>
  </si>
  <si>
    <t>outubro</t>
  </si>
  <si>
    <t>dezembro/22 a novembro/23</t>
  </si>
  <si>
    <t>PARTICIPAÇÃO NA RECEITA GERAL</t>
  </si>
  <si>
    <t>novembro</t>
  </si>
  <si>
    <t>TEMPO DE ESPERA</t>
  </si>
  <si>
    <t>em dias</t>
  </si>
  <si>
    <t>QUANTIDADE NAVIOS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</si>
  <si>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</si>
  <si>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</si>
  <si>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</si>
  <si>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</si>
  <si>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</si>
  <si>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</si>
  <si>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</si>
  <si>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</si>
  <si>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</si>
  <si>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dezembro</t>
  </si>
  <si>
    <t>TEMPO MÉDIO ESPERA EM DIAS</t>
  </si>
  <si>
    <t>CORRELAÇÃO</t>
  </si>
  <si>
    <t>janeiro/23 a dezembro/23</t>
  </si>
  <si>
    <t>AÇUCAR A GRANEL</t>
  </si>
  <si>
    <t>em dólares</t>
  </si>
  <si>
    <t>VALOR CIF (aprox.)</t>
  </si>
  <si>
    <t>fevereiro/23 a janeiro/24</t>
  </si>
  <si>
    <t>PORTO DE SÃO SEBASTIÃO - Quadros comparativos 2024</t>
  </si>
  <si>
    <t>coque de petroleo granel</t>
  </si>
  <si>
    <t>açucar a granel</t>
  </si>
  <si>
    <t>março/23 a fevereiro/24</t>
  </si>
  <si>
    <t>movimentação em t</t>
  </si>
  <si>
    <t>abril/23 a março/24</t>
  </si>
  <si>
    <t>veículos</t>
  </si>
  <si>
    <t>QUARTZO A GRANEL</t>
  </si>
  <si>
    <t>maio/23 a abril/24</t>
  </si>
  <si>
    <t>VALOR CIF DAS CARGAS OPERADAS</t>
  </si>
  <si>
    <t>TOTAL CIF EM US$</t>
  </si>
  <si>
    <t xml:space="preserve">total anual </t>
  </si>
  <si>
    <t xml:space="preserve">o valor CIF destacado é o total dividido por 1000 </t>
  </si>
  <si>
    <t>junho/23 a maio/24</t>
  </si>
  <si>
    <t>julho/23 a junho/24</t>
  </si>
  <si>
    <t>agosto/23 a julho/24</t>
  </si>
  <si>
    <t>setembro/23 a agosto/24</t>
  </si>
  <si>
    <t>OUTROS GRANÉIS (quartzo,silicato,malte, cevada,coque)</t>
  </si>
  <si>
    <t>outubro/23 a setembro/24</t>
  </si>
  <si>
    <t>café em bags</t>
  </si>
  <si>
    <t>WILSON SONS SERVIÇOS</t>
  </si>
  <si>
    <t>novembro/23 a outubro/24</t>
  </si>
  <si>
    <t>WILSON SONS SHIPPING</t>
  </si>
  <si>
    <t>CAFÉ EM BIG BAGS/PALLETS</t>
  </si>
  <si>
    <t>dezembro/23 a novembro/24</t>
  </si>
  <si>
    <t>COQUE DE PETROLEO EM BAGS</t>
  </si>
  <si>
    <t>janeiro/24 a dezembro/24</t>
  </si>
  <si>
    <t>Produtos Movimentados em 2024</t>
  </si>
  <si>
    <t>coque de petroleo gr./bags</t>
  </si>
  <si>
    <t>100 - NAVI SUN</t>
  </si>
  <si>
    <t>CAFÉ E CACAU EM BAGS</t>
  </si>
  <si>
    <t>produto movimentado B. 101 e B.202</t>
  </si>
  <si>
    <t xml:space="preserve">   MOVIMENTAÇÃO DE CARGAS NO PORTO DE SÃO SEBASTIÃO  -  1º  SEMESTRE 2025  ( EM TONELADAS )</t>
  </si>
  <si>
    <t xml:space="preserve">   MOVIMENTAÇÃO DE CARGAS NO PORTO DE SÃO SEBASTIÃO  -  2º  SEMESTRE 2025  ( EM TONELADAS )</t>
  </si>
  <si>
    <t>CONSUMÍVEIS PARA ANIMAIS</t>
  </si>
  <si>
    <t>PERIODO 2008 a 2025</t>
  </si>
  <si>
    <t>fevereiro/24 a janeiro/25</t>
  </si>
  <si>
    <t>redução da média</t>
  </si>
  <si>
    <t>RELATÓRIO DE RECEITAS FATURADAS DO PORTO DE SÃO SEBASTIÃO 2025</t>
  </si>
  <si>
    <t>AÇUCAR GRANEL</t>
  </si>
  <si>
    <t>Receita Econômica 2024</t>
  </si>
  <si>
    <t>01/01 - 00:00 h a 03/01 - 12:00 h</t>
  </si>
  <si>
    <t>003 - JUMEIRAH BEACH</t>
  </si>
  <si>
    <t>SULFATO SÓDIO GRANEL</t>
  </si>
  <si>
    <t>10/01 - 23:55 h a 12/01 - 13:05 h</t>
  </si>
  <si>
    <t>004 - ONEGO NEVA</t>
  </si>
  <si>
    <t>SILICATO VIDRO GRANEL</t>
  </si>
  <si>
    <t>12/01 - 14:30 h a 14/01 - 20:00 h</t>
  </si>
  <si>
    <t>006 - KANAGI RIVER</t>
  </si>
  <si>
    <t>19/01 - 19:01 h a 22/01 - 02:00 h</t>
  </si>
  <si>
    <t>NAVIOS LONGO CURSO 2025 (FOB + FRETE + SEGURO)</t>
  </si>
  <si>
    <t>RESUMO DO RELATÓRIO OPERACIONAL E DE RECEITAS FATURADAS 2025</t>
  </si>
  <si>
    <t>Mês Atual 2025</t>
  </si>
  <si>
    <t>MOVIMENTAÇÃO 2025</t>
  </si>
  <si>
    <t xml:space="preserve">MOVIMENTAÇÃO 2025 - faturamento - em R$ </t>
  </si>
  <si>
    <t>total navios janeiro a dezembro/25</t>
  </si>
  <si>
    <t>007 - PINTAIL</t>
  </si>
  <si>
    <t>28/01 - 14:20 h a 31/01 - 24:00 h</t>
  </si>
  <si>
    <t>março/24 a fevereiro/25</t>
  </si>
  <si>
    <t>COQUE DE PETRÓLEO EM BAGS</t>
  </si>
  <si>
    <t>01/02 - 00:00 h a 03/02 - 05:00 h</t>
  </si>
  <si>
    <t>009 - PARANÁ WARRIOR</t>
  </si>
  <si>
    <t>05/02 - 02:25 h a 07/02 - 09:00 h</t>
  </si>
  <si>
    <t>011 - ARICAN HAMMERKOP</t>
  </si>
  <si>
    <t>09/02 - 01:15 h a 10/02 - 18:40 h</t>
  </si>
  <si>
    <t>012 - AEPOS</t>
  </si>
  <si>
    <t>12/02 - 16:10 h a 15/02 - 12:50 h</t>
  </si>
  <si>
    <t>014 - MAPLE AMBITION</t>
  </si>
  <si>
    <t>17/02 - 04:00 h a 21/02 - 01:50 h</t>
  </si>
  <si>
    <t>015 - JAL PADMA</t>
  </si>
  <si>
    <t>21/02 - 04:00 h a 24/02 - 15:50 h</t>
  </si>
  <si>
    <t>016 - ES INTEGRITY</t>
  </si>
  <si>
    <t>24/02 - 17:25 h a 28/02 - 06:00 h</t>
  </si>
  <si>
    <t>Mês Anterior 2025</t>
  </si>
  <si>
    <t>CARGA SIDERÚRGICA</t>
  </si>
  <si>
    <t>abril/24 a março/25</t>
  </si>
  <si>
    <t>SEAFORTE</t>
  </si>
  <si>
    <t>018 - BLACKY</t>
  </si>
  <si>
    <t>02/03 - 06:00 h a 05/03 - 22:30 h</t>
  </si>
  <si>
    <t>019 - LADY SERRA</t>
  </si>
  <si>
    <t>06/03 - 17:46 h a 09/03 - 12:15 h</t>
  </si>
  <si>
    <t>020 - LOCH LOMOND</t>
  </si>
  <si>
    <t>09/03 - 13:40 h a 11/03 - 17:10 h</t>
  </si>
  <si>
    <t>021 - BARNACLE</t>
  </si>
  <si>
    <t>11/03 - 18:45 h a 14/03 - 19:20 h</t>
  </si>
  <si>
    <t>022 - ECO CATHAR</t>
  </si>
  <si>
    <t>14/03 - 22:30 h a 16/03 - 16:20 h</t>
  </si>
  <si>
    <t>025 - SAGA EXPLORER</t>
  </si>
  <si>
    <t>23/03 - 12:05 h a 25/03 - 18:15 h</t>
  </si>
  <si>
    <t>026 - COREWISE OL</t>
  </si>
  <si>
    <t>ALUMINA CALCINADA GRANEL</t>
  </si>
  <si>
    <t>CARGA PROJETO</t>
  </si>
  <si>
    <t>maio/24 a abril/25</t>
  </si>
  <si>
    <t>alumina calcinada granel</t>
  </si>
  <si>
    <t>carga projeto</t>
  </si>
  <si>
    <t>Danos ao Patrimônio e outros reembolsos</t>
  </si>
  <si>
    <t>028 - HANZE GENUA</t>
  </si>
  <si>
    <t>02/04 - 15:00 h a 07/04 - 14:30 h</t>
  </si>
  <si>
    <t>029 - MONEGASQUE EPEE</t>
  </si>
  <si>
    <t>07/04 - 19:25 h a 10/04 - 14:10 h</t>
  </si>
  <si>
    <t>030 - POSEIDON GR</t>
  </si>
  <si>
    <t>15/04 - 16:35 h a 19/04 - 14:50 h</t>
  </si>
  <si>
    <t>032 - KANAGI RIVER</t>
  </si>
  <si>
    <t>23/04 - 01:25 h a 23/04 - 22:05 h</t>
  </si>
  <si>
    <t>VEÍCULOS / CARGA PROJETO</t>
  </si>
  <si>
    <t>034 - STAR TAISHAN</t>
  </si>
  <si>
    <t>30/04 - 21:10 h a 30/04 - 24:00 h</t>
  </si>
  <si>
    <t>junho/24 a maio/25</t>
  </si>
  <si>
    <t>APOIO PORTUÁRIO - EAGLE CRATO</t>
  </si>
  <si>
    <t>01/05 - 00:00 h a 03/05 - 14:00 h</t>
  </si>
  <si>
    <t>035 - STAR HARRIER</t>
  </si>
  <si>
    <t>03/05 - 16:00 h a 06/05 - 14:25 h</t>
  </si>
  <si>
    <t>036 - PUNA</t>
  </si>
  <si>
    <t>06/05 - 15:56 h a 09/05 - 17:45 h</t>
  </si>
  <si>
    <t>037 - FEDERAL CHAMPLAIN</t>
  </si>
  <si>
    <t>11/05 - 10?20 h a 15/05 - 09:50 h</t>
  </si>
  <si>
    <t>038 - RAYS</t>
  </si>
  <si>
    <t>15/05 - 13:15 h a 19/05 - 06:50 h</t>
  </si>
  <si>
    <t>039 - CAPTAIN D</t>
  </si>
  <si>
    <t>19/05 - 08:50 h a 22/05 - 18:30 h</t>
  </si>
  <si>
    <t>040 - YOUNG HARMONY</t>
  </si>
  <si>
    <t>22/05 - 20:45 h a 27/05 - 21:35 h</t>
  </si>
  <si>
    <t>041 - COE LUIZA</t>
  </si>
  <si>
    <t>27/05 - 22:50 h a 30/05 - 15:15 h</t>
  </si>
  <si>
    <t>TRIGO A GRANEL</t>
  </si>
  <si>
    <t>julho/24 a junho/25</t>
  </si>
  <si>
    <t>trigo a granel</t>
  </si>
  <si>
    <t>COQUE DE PETROLEO GRANEL</t>
  </si>
  <si>
    <t>043 - KULTUS COVE</t>
  </si>
  <si>
    <t>01/06 - 06:10 h a 05/06 - 11:50 h</t>
  </si>
  <si>
    <t>044 - MAI TAI</t>
  </si>
  <si>
    <t>06/06 - 17:00 h a 07/06 - 21:20 h</t>
  </si>
  <si>
    <t>045 - FEDERAL HAMILTON</t>
  </si>
  <si>
    <t>08/06 - 00:10 h a 13/06 - 04:45 h</t>
  </si>
  <si>
    <t>047 - CARTAGENA</t>
  </si>
  <si>
    <t>15/06 - 01:30 h a 18/06 - 06:59 h</t>
  </si>
  <si>
    <t>048 - GARGANEY</t>
  </si>
  <si>
    <t>18/06 - 08:25 h a 22/06 - 03:13 h</t>
  </si>
  <si>
    <t>050 - IVORY GULL</t>
  </si>
  <si>
    <t>27/06 - 15:00 h a 29/06 - 19:00 h</t>
  </si>
  <si>
    <t>051 - LADY SERRA</t>
  </si>
  <si>
    <t>29/06 - 21:00 h a 30/06 - 24:00 h</t>
  </si>
  <si>
    <t>agosto/24 a julho/25</t>
  </si>
  <si>
    <t>01/07 - 00:00 h a 05/07 - 10:15 h</t>
  </si>
  <si>
    <t>052 - BLUEBILL</t>
  </si>
  <si>
    <t>05/07 - 12:30 h a 08/07 - 20:40 h</t>
  </si>
  <si>
    <t>053 - BANDURA</t>
  </si>
  <si>
    <t>08/07 - 22:50 h a 11/07 - 01:30 h</t>
  </si>
  <si>
    <t>054 - ONEGO WISLA</t>
  </si>
  <si>
    <t>11/07 - 04:30 h a 12/07 - 18:55 h</t>
  </si>
  <si>
    <t>055 - FEDERAL YAMASKA</t>
  </si>
  <si>
    <t>12/07 - 20:40 h a 16/07 - 17:45 h</t>
  </si>
  <si>
    <t>056 - FOREVER SW</t>
  </si>
  <si>
    <t>16/07 - 19:25 h a 18/07 - 06:00 h</t>
  </si>
  <si>
    <t>057 - AEOLOS</t>
  </si>
  <si>
    <t>18/07 - 07:40 h a 21/07 - 08:10 h</t>
  </si>
  <si>
    <t>060 - MAVERICK</t>
  </si>
  <si>
    <t>24/07 - 06:05 h a 27/07 - 18:00 h</t>
  </si>
  <si>
    <t>061 - FEDERAL LEXIROSE</t>
  </si>
  <si>
    <t>27/07 - 19:56 h a 31/07 - 10:00 h</t>
  </si>
  <si>
    <t>062 - NAVISION VINCENTZ</t>
  </si>
  <si>
    <t>31/07 - 12:20 h a 31/07 - 24:00 h</t>
  </si>
  <si>
    <t>setembro/24 a agosto/25</t>
  </si>
  <si>
    <t>APOIO PORTUÁRIO - HEDDA KNUTSEN</t>
  </si>
  <si>
    <t>APOIO PORTUÁRIO - SÃO LUIZ</t>
  </si>
  <si>
    <t>01/08 - 00:00 h a 04/08 - 00:59 h</t>
  </si>
  <si>
    <t>064 - FEDERAL KIBUNE</t>
  </si>
  <si>
    <t>09/08 - 16:45 h a 14/08 - 04:10 h</t>
  </si>
  <si>
    <t>065 - TALA WEALTH</t>
  </si>
  <si>
    <t>14/08 - 09:55 h a 18/08 - 05:55 h</t>
  </si>
  <si>
    <t>066 - I C PHOENIX</t>
  </si>
  <si>
    <t>18/08 - 07:32 h a 20/08 - 19:00 h</t>
  </si>
  <si>
    <t>067 - MACCOA</t>
  </si>
  <si>
    <t>20/08 - 21:10 h a 23/08 - 16:00 h</t>
  </si>
  <si>
    <t>068 - OCEAN JOY</t>
  </si>
  <si>
    <t>23/08 - 17:50 h a 29/08 - 16:05 h</t>
  </si>
  <si>
    <t>069 - POMORZE</t>
  </si>
  <si>
    <t>29/08 - 18:15 h a 31/08 - 24:00 h</t>
  </si>
  <si>
    <t>outubro/24 a setembro/25</t>
  </si>
  <si>
    <t>01/09 - 00:00 h a 02/09 - 13:35 h</t>
  </si>
  <si>
    <t>071 - K. BEREKET</t>
  </si>
  <si>
    <t>04/09 - 12:50 h a 07/09 - 23:40 h</t>
  </si>
  <si>
    <t>072 - FREYA SCHULTE</t>
  </si>
  <si>
    <t>08/09 - 01:50 h a 12/09 - 18:30 h</t>
  </si>
  <si>
    <t>075 - FEDERAL CARIBOU</t>
  </si>
  <si>
    <t>20/09 - 07:25 h a 24/09 - 04:00 h</t>
  </si>
  <si>
    <t>076 - ADVENTURER</t>
  </si>
  <si>
    <t>24/09 - 05:30 h a 28/09 - 21:10 h</t>
  </si>
  <si>
    <t>APOIO PORTUÁRIO - EAGLE PAULÍNIA</t>
  </si>
  <si>
    <t>novembro/24 a outubro/25</t>
  </si>
  <si>
    <t xml:space="preserve">AQUARIUS </t>
  </si>
  <si>
    <t>PORTOBRAS</t>
  </si>
  <si>
    <t>APOIO PORTUÁRIO - ATHENS 04</t>
  </si>
  <si>
    <t>CARBOLOG LTDA</t>
  </si>
  <si>
    <t xml:space="preserve">BARRILHA A GRANEL </t>
  </si>
  <si>
    <t>077 - FEDERAL SATSUKI</t>
  </si>
  <si>
    <t>04/10 - 07:20 h a 08/10 - 19:40 h</t>
  </si>
  <si>
    <t>079 - OCCITAN LISTRAC</t>
  </si>
  <si>
    <t>10/10 - 00:10 h a 14/10 - 11:40 h</t>
  </si>
  <si>
    <t>081 - LUNAR STAR I</t>
  </si>
  <si>
    <t>21/10 - 08:40 h a 22/10 - 21:20 h</t>
  </si>
  <si>
    <t>082 - YASA OSAKA</t>
  </si>
  <si>
    <t>22/10 - 23:30 h a 25/10 - 16:15 h</t>
  </si>
  <si>
    <t>084 - AN DING HAI</t>
  </si>
  <si>
    <t>28/10 - 07:35 h a 31/10 - 24:00 h</t>
  </si>
  <si>
    <t>Navios Atracados no Mês-demais berços-ap.mar./longo curso/cabotagem</t>
  </si>
  <si>
    <t>DESEMBOLSOS</t>
  </si>
  <si>
    <t>dezembro/24 a novembro/25</t>
  </si>
  <si>
    <t>Produtos Movimentados em 2025 - até NOVEMBRO</t>
  </si>
  <si>
    <t>Produtos Movimentados NOVEMBRO/25</t>
  </si>
  <si>
    <t>TRIAINA</t>
  </si>
  <si>
    <t>MASTER MARINE</t>
  </si>
  <si>
    <t>LOG LOGISTICA</t>
  </si>
  <si>
    <t>APOIO PORTUÁRIO - LAMBADA SPIRIT</t>
  </si>
  <si>
    <t>F.R. AGUIAR</t>
  </si>
  <si>
    <t xml:space="preserve">APOIO PORTUÁRIO - CLYDE </t>
  </si>
  <si>
    <t>APOIO PORTUÁRIO - EAGLE CAMBE</t>
  </si>
  <si>
    <t>APOIO PORTUÁRIO - ELKA LEBLON</t>
  </si>
  <si>
    <t>APOIO PORTUÁRIO - EAGLE PARANA</t>
  </si>
  <si>
    <t>APOIO PORTUÁRIO - EAGLE CANOAS</t>
  </si>
  <si>
    <t>USO TEMPORÁRIO</t>
  </si>
  <si>
    <t xml:space="preserve">PETROLEO BRASILEIRO S/A </t>
  </si>
  <si>
    <t>USO DO CANAL - TEBAR</t>
  </si>
  <si>
    <t>COQUE DE PETRÓLEO - BIG BAG</t>
  </si>
  <si>
    <t>APOIO PORTUÁRIO - MADRE DE DEUS</t>
  </si>
  <si>
    <t xml:space="preserve">APOIO PORTUÁRIO - EAGLE PETROLINA </t>
  </si>
  <si>
    <t>APOIO PORTUÁRIO - COSTA FAVOLOSA</t>
  </si>
  <si>
    <t xml:space="preserve">APOIO PORTUÁRIO - ABDIAS NASCIMENTO </t>
  </si>
  <si>
    <t>APOIO PORTUÁRIO - ELI KNUTSEN</t>
  </si>
  <si>
    <t>APOIO PORTUÁRIO - SÃO SEBASTIÃO</t>
  </si>
  <si>
    <t>01/11 - 00:00 h a 02/11 - 03:20 h</t>
  </si>
  <si>
    <t>086 - AFRICAN WAGTAIL</t>
  </si>
  <si>
    <t>03/11 - 01:26 h a 05/11 - 08:40 h</t>
  </si>
  <si>
    <t>087 - BOI BRANCO</t>
  </si>
  <si>
    <t>05/11 - 10:30 h a 06/11 - 21:15 h</t>
  </si>
  <si>
    <t>088 - LABRADOR</t>
  </si>
  <si>
    <t>06/11 - 23:06 h a 09/11 - 20:50 h</t>
  </si>
  <si>
    <t>089 - BABITONGA BAY</t>
  </si>
  <si>
    <t>10/11 - 01:00 h a 11/11 - 12:32 h</t>
  </si>
  <si>
    <t>090 - ADVENTURER</t>
  </si>
  <si>
    <t>11/11 - 14:57 h a 14/11 - 11:04 h</t>
  </si>
  <si>
    <t>091 - NORLAND</t>
  </si>
  <si>
    <t>092 - GHENA</t>
  </si>
  <si>
    <t>21/11 - 15:45 h a 25/11 - 06:00 h</t>
  </si>
  <si>
    <t>20/11 - 03:05 h a 21/11 - 12:45 h</t>
  </si>
  <si>
    <t>093 - OBAHAM C</t>
  </si>
  <si>
    <t>25/11 - 08:15 h a 27/11 - 04:15 h</t>
  </si>
  <si>
    <t>094 - QUEENSLAND</t>
  </si>
  <si>
    <t>27/11 - 06:25 h a 29/11 - 21:40 h</t>
  </si>
  <si>
    <t>095 - INDUSTRIAL DIAMOND</t>
  </si>
  <si>
    <t>COQUE DE PETRÓLEO BAGS</t>
  </si>
  <si>
    <t>30/11 - 13:00 h a 30/11 - 24:00 h</t>
  </si>
  <si>
    <t>NAVIOS ATRACADOS NO PORTO DE SÃO SEBASTIÃO  -  2025</t>
  </si>
  <si>
    <t>001 - NORLAND</t>
  </si>
  <si>
    <t>03/01 - 14:00 h a 04/01 - 11:35 h</t>
  </si>
  <si>
    <t>002 - JERICHO BEACH</t>
  </si>
  <si>
    <t>AÇUCAR EM SACAS</t>
  </si>
  <si>
    <t>04/01 - 14:15 h a 10/01 - 22:15 h</t>
  </si>
  <si>
    <t>005 - SPIRIDON II</t>
  </si>
  <si>
    <t>15/01 - 05:50 h a 16/01 - 21:15 h</t>
  </si>
  <si>
    <t>008 - NORLAND</t>
  </si>
  <si>
    <t>04/02 - 00:05 h a 05/02 - 00:22 h</t>
  </si>
  <si>
    <t>010 - SEDNA DESGAGNES</t>
  </si>
  <si>
    <t>07/02 - 11:40 h a 08/02 - 22:00 h</t>
  </si>
  <si>
    <t>013 - ALKHUDAIR STAR</t>
  </si>
  <si>
    <t>15/02 - 14:50 h a 16/02 - 20:40 h</t>
  </si>
  <si>
    <t>017 - RAMI M</t>
  </si>
  <si>
    <t>28/02 - 09:15 h a 28/02 - 24:00 h</t>
  </si>
  <si>
    <t>01/03 - 00:00 h a 02/03 - 03:14 h</t>
  </si>
  <si>
    <t>023 - MAYSSORA</t>
  </si>
  <si>
    <t>024 - KOTOR</t>
  </si>
  <si>
    <t>COQUE PETROLEO BAGS E GR</t>
  </si>
  <si>
    <t>16/03 - 18:01 h a 19/03 - 05:10 h</t>
  </si>
  <si>
    <t>19/03 - 07:40 h a 23/03 - 09:45 h</t>
  </si>
  <si>
    <t>27/03 - 06:03 h a 28/03 - 13:46 h</t>
  </si>
  <si>
    <t>027 - QUEENSLAND</t>
  </si>
  <si>
    <t>28/03 - 21:37 h a 30/03 - 03:10 h</t>
  </si>
  <si>
    <t>031 - ALKHUDAIR STAR</t>
  </si>
  <si>
    <t>19/04 - 16:35 h a 20/04 - 20:40 h</t>
  </si>
  <si>
    <t>033 - ANNIE</t>
  </si>
  <si>
    <t>29/04 - 19:15 h a 30/04 - 12:59 h</t>
  </si>
  <si>
    <t>042 - NORTH STAR</t>
  </si>
  <si>
    <t>30/05 - 17:10 h a 31/05 - 24:00 h</t>
  </si>
  <si>
    <t>01/06 - 00:00 h a 01/06 - 01:15 h</t>
  </si>
  <si>
    <t>046 - RAMI M</t>
  </si>
  <si>
    <t>13/06 - 07:01 a 14/06 - 20:35 h</t>
  </si>
  <si>
    <t>049 - AL KUWAIT</t>
  </si>
  <si>
    <t>22/06 - 04:54 h a 27/06 - 13:20 h</t>
  </si>
  <si>
    <t>058 - HAJH AMINA</t>
  </si>
  <si>
    <t>21/07 - 10:28 h a 22/07 - 16:10 h</t>
  </si>
  <si>
    <t>059 - RAMI M</t>
  </si>
  <si>
    <t>22/07 - 18:07 h a 24/07 - 03:30 h</t>
  </si>
  <si>
    <t>063 - GHENA</t>
  </si>
  <si>
    <t>07/08 - 03:15 h a 09/08 - 13:00 h</t>
  </si>
  <si>
    <t>070 - HAJH AMINA</t>
  </si>
  <si>
    <t>02/09 - 15:20 h a 03/09 - 22:00 h</t>
  </si>
  <si>
    <t>073 - S.ARAS</t>
  </si>
  <si>
    <t>12/09 - 20:30 h a 15/09 - 05:05 h</t>
  </si>
  <si>
    <t>074 - AL KUWAIT</t>
  </si>
  <si>
    <t>15/09 - 07:40 h a 20/09 - 01:20 h</t>
  </si>
  <si>
    <t>078 - SHORTHORN EXPRESS</t>
  </si>
  <si>
    <t>08/10 - 21:35 h a 10/10 - 17:35 h</t>
  </si>
  <si>
    <t>080 - ALKHUDAIR STAR</t>
  </si>
  <si>
    <t>14/10 - 14:17 h a 16/10 - 08:20 h</t>
  </si>
  <si>
    <t>083 - S.ARAS</t>
  </si>
  <si>
    <t>25/10 - 19:30 h a 28/10 - 05:20 h</t>
  </si>
  <si>
    <t>FERTILIZANTES</t>
  </si>
  <si>
    <t>janeiro/25 a dezembro/25</t>
  </si>
  <si>
    <t>Fertilizantes</t>
  </si>
  <si>
    <t>Produtos Movimentados DEZEMBRO/25</t>
  </si>
  <si>
    <t>Produtos Movimentados DEZEMBRO/24</t>
  </si>
  <si>
    <t>Mov. últimos 12 meses JANEIRO/25 A DEZEMBRO/25</t>
  </si>
  <si>
    <t>NOTAS FISCAIS EMITIDAS EM DEZEMBRO 2025</t>
  </si>
  <si>
    <t xml:space="preserve"> GADO VIVO - NAVIO QUEENSLAND </t>
  </si>
  <si>
    <t>GADO VIVO - NAVIO QUEENSLAND</t>
  </si>
  <si>
    <t>IRV</t>
  </si>
  <si>
    <t>USO DO CANAL - PETRÓLEO</t>
  </si>
  <si>
    <t xml:space="preserve">APOIO PORTUÁRIO - QUEENSLAND </t>
  </si>
  <si>
    <t>GADO VIVO - NAVIO WMF EXPRESS</t>
  </si>
  <si>
    <t xml:space="preserve">PRONAVE </t>
  </si>
  <si>
    <t xml:space="preserve">APOIO PORTUÁRIO - WMF EXPRESS </t>
  </si>
  <si>
    <t xml:space="preserve">CECMAR </t>
  </si>
  <si>
    <t>GADO VIVO - NAVIO CATTLE FORCE</t>
  </si>
  <si>
    <t xml:space="preserve">APOIO PORTUÁRIO - CATTLE FORCE </t>
  </si>
  <si>
    <t xml:space="preserve"> ANIMAIS VIVOS - NAVIO CATTLE FORCE </t>
  </si>
  <si>
    <t>APOIO PORTUÁRIO - INDUSTRIAL DIAMOND</t>
  </si>
  <si>
    <t>NAVIO TURISMO COSTA DIADEMA</t>
  </si>
  <si>
    <t>NAVIO TURISMO COSTA FAVOLOSA</t>
  </si>
  <si>
    <t xml:space="preserve">SEA SIDE </t>
  </si>
  <si>
    <t>NAVIO TURISMO MSC FANTASIA</t>
  </si>
  <si>
    <t xml:space="preserve"> COQUE DE PETRÓLEO - NAVIO INDUSTRIAL DIAMOND</t>
  </si>
  <si>
    <t xml:space="preserve">ORION </t>
  </si>
  <si>
    <t>NAVIO INDUSTRIAL DIAMOND</t>
  </si>
  <si>
    <t>APOIO PORTUÁRIO - TURISMO COSTA DIADEMA</t>
  </si>
  <si>
    <t>FERTILIZANTES GRANEL - NAVIO INCE POINT</t>
  </si>
  <si>
    <t xml:space="preserve">APOIO PORTUÁRIO - ALKHUDAIR STAR </t>
  </si>
  <si>
    <t xml:space="preserve">APOIO PORTUÁRIO - MSC FANTASIA </t>
  </si>
  <si>
    <t>APOIO PORTUÁRIO - INCE POINT</t>
  </si>
  <si>
    <t>APOIO MARÍTIMO - REBOCADOR OLIN CONQUEROR</t>
  </si>
  <si>
    <t>APOIO PORTUÁRIO - REBOCADOR OLIN CONQUEROR</t>
  </si>
  <si>
    <t>APOIO PORTUÁRIO - REBOCADORES DA EMPRESA</t>
  </si>
  <si>
    <t>APOIO PORTUÁRIO - RIO 2016</t>
  </si>
  <si>
    <t>APOIO PORTUÁRIO - BRASIL 2014</t>
  </si>
  <si>
    <t xml:space="preserve">APOIO PORTUÁRIO - METRO LIVAS </t>
  </si>
  <si>
    <t xml:space="preserve">CONE SUL </t>
  </si>
  <si>
    <t>APOIO PORTUÁRIO - KAMOME VICTORIA</t>
  </si>
  <si>
    <t>G PIEROTTI SHIP SUPLIER LTDA</t>
  </si>
  <si>
    <t xml:space="preserve">APOIO PORTUÁRIO - RAYSUT </t>
  </si>
  <si>
    <t xml:space="preserve">GUDE GUDE </t>
  </si>
  <si>
    <t>APOIO PORTUÁRIO - GUDE SKY E OCEAN GUDE</t>
  </si>
  <si>
    <t>APOIO PORTUÁRIO - CLEAN JUSTICE</t>
  </si>
  <si>
    <t xml:space="preserve">APOIO PORTUÁRIO - PORTO V. E PRÁTICO ACCACIO FERNANDES </t>
  </si>
  <si>
    <t xml:space="preserve">APOIO PORTUÁRIO - JOSE DO PATROCINIO </t>
  </si>
  <si>
    <t>APOIO PORTUÁRIO - BARCO OCEAN GUDE</t>
  </si>
  <si>
    <t xml:space="preserve">CANCELADA </t>
  </si>
  <si>
    <t xml:space="preserve">APOIO PORTUÁRIO - TURISMO COSTA FAVOLOSA </t>
  </si>
  <si>
    <t>APOIO PORTUÁRIO - EAGLE PARANÁ</t>
  </si>
  <si>
    <t xml:space="preserve">APOIO PORTUÁRIO - S.ARAS </t>
  </si>
  <si>
    <t xml:space="preserve">APOIO PORTUÁRIO - EAGLE PARANÁ </t>
  </si>
  <si>
    <t xml:space="preserve">PROPORTO BRASIL </t>
  </si>
  <si>
    <t>CAFÉ EM SACAS</t>
  </si>
  <si>
    <t>NAVIO TURISMO MSC SINFONIA</t>
  </si>
  <si>
    <t xml:space="preserve">NAVIO TURISMO MSC FANTASIA </t>
  </si>
  <si>
    <t>APOIO PORTUÁRIO - TURISMO MSC ARMONIA</t>
  </si>
  <si>
    <t>APOIO PORTUÁRIO - TURISMO MSC FANTASIA</t>
  </si>
  <si>
    <t>APOIO PORTUÁRIO - TURISMO MSC SINFONIA</t>
  </si>
  <si>
    <t>GADO VIVO - NAVIO S.ARAS</t>
  </si>
  <si>
    <t>CAFÉ EM PALLETS - NAVIO VELEIRO ARTEMIS</t>
  </si>
  <si>
    <t>CAFÉ EM BAGS - NAVIO VELEIRO ARTEMIS</t>
  </si>
  <si>
    <t>APOIO PORTUÁRIO - VALEIRO ARTEMIS</t>
  </si>
  <si>
    <t>APOIO PORTUÁRIO -  EAGLE PARANÁ</t>
  </si>
  <si>
    <t>APOIO PORTUÁRIO - BRASIL 2014 E INCE POINT</t>
  </si>
  <si>
    <t xml:space="preserve"> EQUIPAMENTOS DIVERSOS - NAVIO VELEIRO ARTEMIS</t>
  </si>
  <si>
    <t xml:space="preserve"> EQUIPAMENTOS DIVERSOS - NAVIO S.ARAS</t>
  </si>
  <si>
    <t>APOIO PORTUÁRIO - NS EXPLORER</t>
  </si>
  <si>
    <t>MATERIAIS DESTINADOS  - NAVIO NS EXPLORER</t>
  </si>
  <si>
    <t>APOIO PORTUÁRIO - RIO GRANDE</t>
  </si>
  <si>
    <t>APOIO PORTUÁRIO - MAERSK CALLAO</t>
  </si>
  <si>
    <t>APOIO PORTUÁRIO - CAPTAIN LEON</t>
  </si>
  <si>
    <t xml:space="preserve">APOIO PORTUÁRIO - SÃO SEBASTIAO </t>
  </si>
  <si>
    <t>APOIO PORTUÁRIO - ELKA LEBLON E MILTON SANTOS</t>
  </si>
  <si>
    <t>BARRILHA A GRANEL - NAVIO OBAHAN C</t>
  </si>
  <si>
    <t xml:space="preserve"> MALTE A GRANEL - NAVIO ADVENTURER</t>
  </si>
  <si>
    <t xml:space="preserve"> MALTE A GRANEL - NAVIO POMORZE</t>
  </si>
  <si>
    <t>ALUMINA CALCINADA A GRANEL - NAVIO KANAGI RIVER</t>
  </si>
  <si>
    <t xml:space="preserve">COQUE CALCINADO DE PETRÓLEO A GRANEL </t>
  </si>
  <si>
    <t xml:space="preserve"> TRIGO GRANEL - NAVIO KULTUS COVE</t>
  </si>
  <si>
    <t xml:space="preserve">OLFAR S/A </t>
  </si>
  <si>
    <t>RC TECHINICA</t>
  </si>
  <si>
    <t>NAVIO TURISMO MSC ARMONIA</t>
  </si>
  <si>
    <t xml:space="preserve">NAVIO TURISMO MSC SINFONIA </t>
  </si>
  <si>
    <t>AGHIA MARINA</t>
  </si>
  <si>
    <t xml:space="preserve"> AÇUCAR A GRANEL - AGHIA MARINA</t>
  </si>
  <si>
    <t>APOIO PORTUÁRIO - AGHIA MARINA</t>
  </si>
  <si>
    <t>CEVADA A GRANEL - NAVIO DISCOVERER</t>
  </si>
  <si>
    <t xml:space="preserve">MALTERIA SOUFFLET BRASIL LTDA </t>
  </si>
  <si>
    <t xml:space="preserve">APOIO PORTUÁRIO - DISCOVERER </t>
  </si>
  <si>
    <t>WILHELMSEN PORT S.BRASIL LTDA</t>
  </si>
  <si>
    <t xml:space="preserve">NAVIO TURISMO SEVEN SEAS SPLENDOR </t>
  </si>
  <si>
    <t xml:space="preserve">APOIO PORTUÁRIO - STI JARDINS </t>
  </si>
  <si>
    <t>APOIO PORTUÁRIO - MSC SINFONIA</t>
  </si>
  <si>
    <t>APOIO PORTUÁRIO - AMY CHOUEST</t>
  </si>
  <si>
    <t xml:space="preserve">APOIO PORTUÁRIO - HONESTY </t>
  </si>
  <si>
    <t>APOIO PORTUÁRIO - MILTON SANTOS</t>
  </si>
  <si>
    <t>PASSAGEM DE CAMINHÕES - RESIDUOS</t>
  </si>
  <si>
    <t xml:space="preserve"> USO TEMPORÁRIO - NAVIO DISCOVERER</t>
  </si>
  <si>
    <t>NAVIO TURISMO SILVER WHISPER</t>
  </si>
  <si>
    <t xml:space="preserve"> GADO VIVO - NAVIO ALKHUDAIR STAR</t>
  </si>
  <si>
    <t xml:space="preserve">NAVIO ALKHUDAIR STAR </t>
  </si>
  <si>
    <t>APOIO PORTUÁRIO -  ALKHUDAIR STAR</t>
  </si>
  <si>
    <t xml:space="preserve"> BARRILHA  A GRANEL - NAVIO LADY SERRA </t>
  </si>
  <si>
    <t xml:space="preserve">NAVIO LADY SERRA </t>
  </si>
  <si>
    <t>NAVIO MSC FANTASIA</t>
  </si>
  <si>
    <t xml:space="preserve">APOIO PORTUÁRIO - PORTO VALE V </t>
  </si>
  <si>
    <t>NAVIO OCCITAN PAUILLAC</t>
  </si>
  <si>
    <t>MALTE A GRANEL - NAVIO OCCITAN PAUILLAC</t>
  </si>
  <si>
    <t xml:space="preserve">PORT SUPPLY </t>
  </si>
  <si>
    <t>APOIO PORTUÁRIO - OCCITAN PAUILLAC</t>
  </si>
  <si>
    <t xml:space="preserve">COQUE CALCINADO A GRANEL </t>
  </si>
  <si>
    <t xml:space="preserve">CEVADA A GRANEL - NAVIO RAYS </t>
  </si>
  <si>
    <t>MALTE A GRANEL - NAVIO ADVENTURER</t>
  </si>
  <si>
    <t>RAÇÃO ANIMAL</t>
  </si>
  <si>
    <t>APIO PORTUÁRIO - HONESTY</t>
  </si>
  <si>
    <t>APOIO PORTUÁRIO - ELKA PARANÁ</t>
  </si>
  <si>
    <t>APOIO PORTUÁRIO - BURAN</t>
  </si>
  <si>
    <t>APOIO PORTUÁRIO - IOANNIS ZAFIRAKIS</t>
  </si>
  <si>
    <t>GUARDA DE EQUIPAMENTOS PRÓPRIOS</t>
  </si>
  <si>
    <t xml:space="preserve">Receita Econômica 2025 </t>
  </si>
  <si>
    <t>Receita Econômica NOVEMBRO/25</t>
  </si>
  <si>
    <t>Receita Econômica DEZEMBRO/25</t>
  </si>
  <si>
    <t>Receita Econômica DEZEMBRO/24</t>
  </si>
  <si>
    <t>Receita últimos 12 meses - JANEIRO/25 A DEZEMBRO/25</t>
  </si>
  <si>
    <t>096 - WMF EXPRESS</t>
  </si>
  <si>
    <t>02/12 - 10:35 h a 03/12 - 21:00 h</t>
  </si>
  <si>
    <t>097 - CATLE FORCE</t>
  </si>
  <si>
    <t>03/12 - 22:40 h a 05/12 - 12:55 h</t>
  </si>
  <si>
    <t>098 - INCE POINT</t>
  </si>
  <si>
    <t>FERTILIZANTE A GRANEL</t>
  </si>
  <si>
    <t>05/12 - 14:30 h a 08/12 - 18:15 h</t>
  </si>
  <si>
    <t>099 - S. ARAS</t>
  </si>
  <si>
    <t>11/12 - 07:40 h a 13/12 - 14:20 h</t>
  </si>
  <si>
    <t>100 - ARTEMIS (berço 202)</t>
  </si>
  <si>
    <t>101 - AGHIA MARINA</t>
  </si>
  <si>
    <t>13/12 - 16:30 h a 17/12 - 22:40 h</t>
  </si>
  <si>
    <t>102 - DISCOVERER</t>
  </si>
  <si>
    <t>18/12 - 00:40 h a 21/12 - 21:00 h</t>
  </si>
  <si>
    <t>103 - ALKHUDAIR STAR</t>
  </si>
  <si>
    <t>21/12 - 23:00 h a 23/12 - 08:20 h</t>
  </si>
  <si>
    <t>104 - LADY SERRA</t>
  </si>
  <si>
    <t>23/12 - 13:35 h a 26/12 - 02:40 h</t>
  </si>
  <si>
    <t>105 - OCCITAN PAUILLAC</t>
  </si>
  <si>
    <t>26/12 - 04:35 h a 29/12 - 17:05 h</t>
  </si>
  <si>
    <t>106 - DISCOVERER</t>
  </si>
  <si>
    <t>29/12 - 19:50 h a 31/12 - 24:00 h</t>
  </si>
  <si>
    <t>CAIS COMERCIAL  - DEZEMBRO/2025</t>
  </si>
  <si>
    <t>085 - ANEMOS - (berço 202)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</si>
</sst>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&quot;Cr$&quot;* #,##0_);_(&quot;Cr$&quot;* \(#,##0\);_(&quot;Cr$&quot;* &quot;-&quot;_);_(@_)"/>
    <numFmt numFmtId="167" formatCode="_(&quot;Cr$&quot;* #,##0.00_);_(&quot;Cr$&quot;* \(#,##0.00\);_(&quot;Cr$&quot;* &quot;-&quot;??_);_(@_)"/>
    <numFmt numFmtId="168" formatCode="_(* #,##0.000_);_(* \(#,##0.000\);_(* &quot;-&quot;??_);_(@_)"/>
    <numFmt numFmtId="169" formatCode="_(* #,##0_);_(* \(#,##0\);_(* &quot;-&quot;??_);_(@_)"/>
    <numFmt numFmtId="170" formatCode="#,##0.000"/>
    <numFmt numFmtId="171" formatCode="_(* #,##0.000_);_(* \(#,##0.000\);_(* &quot;-&quot;???_);_(@_)"/>
    <numFmt numFmtId="172" formatCode="_-* #,##0.000\ _€_-;\-* #,##0.000\ _€_-;_-* &quot;-&quot;???\ _€_-;_-@_-"/>
    <numFmt numFmtId="173" formatCode="_-* #,##0.000_-;\-* #,##0.000_-;_-* &quot;-&quot;???_-;_-@_-"/>
    <numFmt numFmtId="174" formatCode="dd\-mmm\-yy"/>
    <numFmt numFmtId="175" formatCode="0.0000"/>
    <numFmt numFmtId="176" formatCode="_-* #,##0.00000\ _€_-;\-* #,##0.00000\ _€_-;_-* &quot;-&quot;???\ _€_-;_-@_-"/>
    <numFmt numFmtId="177" formatCode="_-* #,##0.0000\ _€_-;\-* #,##0.0000\ _€_-;_-* &quot;-&quot;???\ _€_-;_-@_-"/>
    <numFmt numFmtId="178" formatCode="_(* #,##0.0000_);_(* \(#,##0.0000\);_(* &quot;-&quot;???_);_(@_)"/>
    <numFmt numFmtId="179" formatCode="_(* #,##0.0000_);_(* \(#,##0.0000\);_(* &quot;-&quot;??_);_(@_)"/>
    <numFmt numFmtId="180" formatCode="_(* #,##0.0000_);_(* \(#,##0.0000\);_(* &quot;-&quot;????_);_(@_)"/>
    <numFmt numFmtId="181" formatCode="_(* #,##0.000_);_(* \(#,##0.000\);_(* &quot;-&quot;_);_(@_)"/>
    <numFmt numFmtId="182" formatCode="0.00000"/>
    <numFmt numFmtId="183" formatCode="_-[$R$-416]\ * #,##0.00_-;\-[$R$-416]\ * #,##0.00_-;_-[$R$-416]\ * &quot;-&quot;??_-;_-@_-"/>
    <numFmt numFmtId="184" formatCode="_-* #,##0.000_-;\-* #,##0.000_-;_-* &quot;-&quot;??_-;_-@_-"/>
    <numFmt numFmtId="185" formatCode="_-* #,##0.0000_-;\-* #,##0.0000_-;_-* &quot;-&quot;??_-;_-@_-"/>
    <numFmt numFmtId="186" formatCode="_-* #,##0_-;\-* #,##0_-;_-* &quot;-&quot;??_-;_-@_-"/>
    <numFmt numFmtId="187" formatCode="0.000"/>
    <numFmt numFmtId="188" formatCode="0.000000"/>
    <numFmt numFmtId="189" formatCode="0.00000000"/>
    <numFmt numFmtId="190" formatCode="&quot;R$&quot;\ #,##0.00"/>
    <numFmt numFmtId="191" formatCode="_(* #,##0.00000_);_(* \(#,##0.00000\);_(* &quot;-&quot;??_);_(@_)"/>
    <numFmt numFmtId="192" formatCode="_-[$$-409]* #,##0.00_ ;_-[$$-409]* \-#,##0.00\ ;_-[$$-409]* &quot;-&quot;??_ ;_-@_ "/>
    <numFmt numFmtId="193" formatCode="_(* #,##0.00_);_(* \(#,##0.00\);_(* &quot;-&quot;???_);_(@_)"/>
    <numFmt numFmtId="194" formatCode="_-* #,##0.00_-;\-* #,##0.00_-;_-* &quot;-&quot;???_-;_-@_-"/>
  </numFmts>
  <fonts count="65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0"/>
      <name val="Arial Narrow"/>
      <family val="2"/>
    </font>
    <font>
      <sz val="16"/>
      <name val="Arial Narrow"/>
      <family val="2"/>
    </font>
    <font>
      <b/>
      <sz val="20"/>
      <name val="Arial Narrow"/>
      <family val="2"/>
    </font>
    <font>
      <sz val="20"/>
      <name val="Arial Narrow"/>
      <family val="2"/>
    </font>
    <font>
      <b/>
      <sz val="15"/>
      <name val="Arial Narrow"/>
      <family val="2"/>
    </font>
    <font>
      <b/>
      <sz val="9"/>
      <name val="Arial"/>
      <family val="2"/>
    </font>
    <font>
      <sz val="11"/>
      <name val="Arial"/>
      <family val="2"/>
    </font>
    <font>
      <b/>
      <sz val="12"/>
      <name val="Arial Narrow"/>
      <family val="2"/>
    </font>
    <font>
      <sz val="9"/>
      <name val="Arial"/>
      <family val="2"/>
    </font>
    <font>
      <sz val="12"/>
      <name val="Arial Narrow"/>
      <family val="2"/>
    </font>
    <font>
      <b/>
      <sz val="11"/>
      <name val="Arial"/>
      <family val="2"/>
    </font>
    <font>
      <sz val="12"/>
      <color indexed="8"/>
      <name val="Calibri"/>
      <family val="2"/>
    </font>
    <font>
      <b/>
      <sz val="12"/>
      <color indexed="62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9"/>
      <name val="Arial"/>
      <family val="2"/>
    </font>
    <font>
      <sz val="18"/>
      <name val="Arial"/>
      <family val="2"/>
    </font>
    <font>
      <sz val="18"/>
      <name val="Arial Narrow"/>
      <family val="2"/>
    </font>
    <font>
      <b/>
      <sz val="16"/>
      <name val="Arial Narrow"/>
      <family val="2"/>
    </font>
    <font>
      <sz val="12"/>
      <name val="Calibri"/>
      <family val="2"/>
    </font>
    <font>
      <b/>
      <sz val="2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Arial Narrow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1"/>
      <color rgb="FFFF0000"/>
      <name val="Arial"/>
      <family val="2"/>
    </font>
    <font>
      <sz val="11"/>
      <color theme="7" tint="-0.249977111117893"/>
      <name val="Arial"/>
      <family val="2"/>
    </font>
    <font>
      <sz val="11"/>
      <color theme="6" tint="-0.499984740745262"/>
      <name val="Arial"/>
      <family val="2"/>
    </font>
    <font>
      <sz val="11"/>
      <color theme="9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1"/>
      <color rgb="FF9C0006"/>
      <name val="Arial"/>
      <family val="2"/>
    </font>
    <font>
      <b/>
      <sz val="10"/>
      <color rgb="FF00206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gray125">
        <fgColor indexed="18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2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58" fillId="0" borderId="0"/>
    <xf numFmtId="0" fontId="63" fillId="6" borderId="0" applyNumberFormat="0" applyBorder="0" applyAlignment="0" applyProtection="0"/>
  </cellStyleXfs>
  <cellXfs count="73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70" fontId="3" fillId="0" borderId="0" xfId="0" applyNumberFormat="1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170" fontId="4" fillId="0" borderId="3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6" xfId="0" applyFont="1" applyFill="1" applyBorder="1" applyAlignment="1">
      <alignment horizontal="centerContinuous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right"/>
    </xf>
    <xf numFmtId="168" fontId="3" fillId="0" borderId="8" xfId="4" applyNumberFormat="1" applyFont="1" applyBorder="1" applyAlignment="1">
      <alignment horizontal="right"/>
    </xf>
    <xf numFmtId="168" fontId="3" fillId="0" borderId="8" xfId="0" applyNumberFormat="1" applyFont="1" applyBorder="1" applyAlignment="1">
      <alignment horizontal="right"/>
    </xf>
    <xf numFmtId="168" fontId="3" fillId="2" borderId="8" xfId="4" applyNumberFormat="1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3" borderId="10" xfId="0" applyFont="1" applyFill="1" applyBorder="1"/>
    <xf numFmtId="0" fontId="3" fillId="3" borderId="0" xfId="0" applyFont="1" applyFill="1" applyAlignment="1">
      <alignment horizontal="right"/>
    </xf>
    <xf numFmtId="170" fontId="3" fillId="3" borderId="0" xfId="0" applyNumberFormat="1" applyFont="1" applyFill="1" applyAlignment="1">
      <alignment horizontal="right"/>
    </xf>
    <xf numFmtId="170" fontId="3" fillId="3" borderId="0" xfId="0" applyNumberFormat="1" applyFont="1" applyFill="1"/>
    <xf numFmtId="0" fontId="3" fillId="3" borderId="0" xfId="0" applyFont="1" applyFill="1"/>
    <xf numFmtId="170" fontId="4" fillId="0" borderId="1" xfId="0" applyNumberFormat="1" applyFont="1" applyBorder="1" applyAlignment="1">
      <alignment horizontal="right"/>
    </xf>
    <xf numFmtId="169" fontId="3" fillId="0" borderId="8" xfId="4" applyNumberFormat="1" applyFont="1" applyBorder="1" applyAlignment="1">
      <alignment horizontal="right"/>
    </xf>
    <xf numFmtId="169" fontId="3" fillId="0" borderId="0" xfId="4" applyNumberFormat="1" applyFont="1" applyBorder="1" applyAlignment="1">
      <alignment horizontal="right"/>
    </xf>
    <xf numFmtId="168" fontId="3" fillId="0" borderId="8" xfId="0" applyNumberFormat="1" applyFont="1" applyBorder="1"/>
    <xf numFmtId="168" fontId="3" fillId="2" borderId="8" xfId="0" applyNumberFormat="1" applyFont="1" applyFill="1" applyBorder="1"/>
    <xf numFmtId="0" fontId="3" fillId="0" borderId="8" xfId="0" applyFont="1" applyBorder="1" applyAlignment="1">
      <alignment horizontal="left"/>
    </xf>
    <xf numFmtId="169" fontId="3" fillId="0" borderId="8" xfId="0" applyNumberFormat="1" applyFont="1" applyBorder="1"/>
    <xf numFmtId="0" fontId="3" fillId="2" borderId="8" xfId="0" applyFont="1" applyFill="1" applyBorder="1"/>
    <xf numFmtId="0" fontId="4" fillId="0" borderId="11" xfId="0" applyFont="1" applyBorder="1"/>
    <xf numFmtId="0" fontId="4" fillId="0" borderId="8" xfId="0" applyFont="1" applyBorder="1"/>
    <xf numFmtId="169" fontId="3" fillId="0" borderId="12" xfId="4" applyNumberFormat="1" applyFont="1" applyBorder="1" applyAlignment="1">
      <alignment horizontal="right"/>
    </xf>
    <xf numFmtId="170" fontId="3" fillId="0" borderId="0" xfId="0" applyNumberFormat="1" applyFont="1" applyAlignment="1">
      <alignment horizontal="right"/>
    </xf>
    <xf numFmtId="168" fontId="3" fillId="0" borderId="8" xfId="4" applyNumberFormat="1" applyFont="1" applyBorder="1"/>
    <xf numFmtId="171" fontId="3" fillId="0" borderId="0" xfId="0" applyNumberFormat="1" applyFont="1"/>
    <xf numFmtId="165" fontId="3" fillId="0" borderId="8" xfId="4" applyFont="1" applyBorder="1"/>
    <xf numFmtId="165" fontId="3" fillId="0" borderId="0" xfId="4" applyFont="1" applyBorder="1" applyAlignment="1">
      <alignment horizontal="right"/>
    </xf>
    <xf numFmtId="165" fontId="3" fillId="0" borderId="8" xfId="4" applyFont="1" applyBorder="1" applyAlignment="1">
      <alignment horizontal="right"/>
    </xf>
    <xf numFmtId="165" fontId="3" fillId="2" borderId="8" xfId="4" applyFont="1" applyFill="1" applyBorder="1" applyAlignment="1">
      <alignment horizontal="right"/>
    </xf>
    <xf numFmtId="169" fontId="3" fillId="0" borderId="8" xfId="4" applyNumberFormat="1" applyFont="1" applyBorder="1"/>
    <xf numFmtId="0" fontId="3" fillId="0" borderId="8" xfId="0" applyFont="1" applyBorder="1" applyAlignment="1">
      <alignment horizontal="justify"/>
    </xf>
    <xf numFmtId="169" fontId="3" fillId="2" borderId="8" xfId="4" applyNumberFormat="1" applyFont="1" applyFill="1" applyBorder="1"/>
    <xf numFmtId="169" fontId="3" fillId="2" borderId="8" xfId="4" applyNumberFormat="1" applyFont="1" applyFill="1" applyBorder="1" applyAlignment="1">
      <alignment horizontal="right"/>
    </xf>
    <xf numFmtId="37" fontId="3" fillId="0" borderId="0" xfId="4" applyNumberFormat="1" applyFont="1" applyBorder="1" applyAlignment="1">
      <alignment horizontal="right"/>
    </xf>
    <xf numFmtId="171" fontId="3" fillId="0" borderId="0" xfId="0" applyNumberFormat="1" applyFont="1" applyAlignment="1">
      <alignment horizontal="center"/>
    </xf>
    <xf numFmtId="169" fontId="3" fillId="2" borderId="0" xfId="4" applyNumberFormat="1" applyFont="1" applyFill="1" applyBorder="1" applyAlignment="1">
      <alignment horizontal="right"/>
    </xf>
    <xf numFmtId="171" fontId="5" fillId="0" borderId="0" xfId="0" applyNumberFormat="1" applyFont="1"/>
    <xf numFmtId="169" fontId="3" fillId="0" borderId="0" xfId="0" applyNumberFormat="1" applyFont="1" applyAlignment="1">
      <alignment horizontal="right"/>
    </xf>
    <xf numFmtId="37" fontId="3" fillId="0" borderId="0" xfId="0" applyNumberFormat="1" applyFont="1"/>
    <xf numFmtId="37" fontId="3" fillId="0" borderId="0" xfId="0" applyNumberFormat="1" applyFont="1" applyAlignment="1">
      <alignment horizontal="right"/>
    </xf>
    <xf numFmtId="171" fontId="3" fillId="0" borderId="0" xfId="0" applyNumberFormat="1" applyFont="1" applyAlignment="1">
      <alignment horizontal="right"/>
    </xf>
    <xf numFmtId="168" fontId="3" fillId="0" borderId="0" xfId="4" applyNumberFormat="1" applyFont="1" applyBorder="1" applyAlignment="1">
      <alignment horizontal="center"/>
    </xf>
    <xf numFmtId="168" fontId="3" fillId="0" borderId="0" xfId="0" applyNumberFormat="1" applyFont="1"/>
    <xf numFmtId="168" fontId="3" fillId="0" borderId="13" xfId="4" applyNumberFormat="1" applyFont="1" applyBorder="1" applyAlignment="1">
      <alignment horizontal="right"/>
    </xf>
    <xf numFmtId="168" fontId="3" fillId="0" borderId="14" xfId="0" applyNumberFormat="1" applyFont="1" applyBorder="1" applyAlignment="1">
      <alignment horizontal="right"/>
    </xf>
    <xf numFmtId="168" fontId="3" fillId="0" borderId="13" xfId="0" applyNumberFormat="1" applyFont="1" applyBorder="1" applyAlignment="1">
      <alignment horizontal="right"/>
    </xf>
    <xf numFmtId="172" fontId="3" fillId="0" borderId="0" xfId="0" applyNumberFormat="1" applyFont="1"/>
    <xf numFmtId="170" fontId="5" fillId="0" borderId="0" xfId="0" applyNumberFormat="1" applyFont="1"/>
    <xf numFmtId="169" fontId="4" fillId="7" borderId="11" xfId="4" applyNumberFormat="1" applyFont="1" applyFill="1" applyBorder="1" applyAlignment="1">
      <alignment horizontal="right"/>
    </xf>
    <xf numFmtId="168" fontId="4" fillId="7" borderId="11" xfId="0" applyNumberFormat="1" applyFont="1" applyFill="1" applyBorder="1" applyAlignment="1">
      <alignment horizontal="right"/>
    </xf>
    <xf numFmtId="169" fontId="4" fillId="8" borderId="1" xfId="4" applyNumberFormat="1" applyFont="1" applyFill="1" applyBorder="1" applyAlignment="1">
      <alignment horizontal="right"/>
    </xf>
    <xf numFmtId="168" fontId="4" fillId="8" borderId="1" xfId="0" applyNumberFormat="1" applyFont="1" applyFill="1" applyBorder="1" applyAlignment="1">
      <alignment horizontal="right"/>
    </xf>
    <xf numFmtId="168" fontId="4" fillId="8" borderId="1" xfId="4" applyNumberFormat="1" applyFont="1" applyFill="1" applyBorder="1" applyAlignment="1">
      <alignment horizontal="right"/>
    </xf>
    <xf numFmtId="169" fontId="4" fillId="8" borderId="3" xfId="4" applyNumberFormat="1" applyFont="1" applyFill="1" applyBorder="1" applyAlignment="1">
      <alignment horizontal="right"/>
    </xf>
    <xf numFmtId="168" fontId="4" fillId="8" borderId="1" xfId="0" applyNumberFormat="1" applyFont="1" applyFill="1" applyBorder="1"/>
    <xf numFmtId="168" fontId="4" fillId="8" borderId="1" xfId="4" applyNumberFormat="1" applyFont="1" applyFill="1" applyBorder="1"/>
    <xf numFmtId="165" fontId="3" fillId="0" borderId="15" xfId="4" applyFont="1" applyFill="1" applyBorder="1"/>
    <xf numFmtId="164" fontId="4" fillId="0" borderId="0" xfId="0" applyNumberFormat="1" applyFont="1"/>
    <xf numFmtId="0" fontId="6" fillId="4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0" xfId="0" applyFont="1"/>
    <xf numFmtId="165" fontId="9" fillId="0" borderId="0" xfId="0" applyNumberFormat="1" applyFont="1"/>
    <xf numFmtId="168" fontId="7" fillId="0" borderId="1" xfId="4" applyNumberFormat="1" applyFont="1" applyFill="1" applyBorder="1"/>
    <xf numFmtId="168" fontId="7" fillId="2" borderId="1" xfId="4" applyNumberFormat="1" applyFont="1" applyFill="1" applyBorder="1"/>
    <xf numFmtId="0" fontId="7" fillId="0" borderId="1" xfId="0" applyFont="1" applyBorder="1" applyAlignment="1">
      <alignment horizontal="center"/>
    </xf>
    <xf numFmtId="165" fontId="11" fillId="0" borderId="0" xfId="4" applyFont="1" applyFill="1"/>
    <xf numFmtId="168" fontId="11" fillId="0" borderId="0" xfId="4" applyNumberFormat="1" applyFont="1"/>
    <xf numFmtId="175" fontId="9" fillId="0" borderId="0" xfId="0" applyNumberFormat="1" applyFont="1"/>
    <xf numFmtId="168" fontId="11" fillId="0" borderId="8" xfId="4" applyNumberFormat="1" applyFont="1" applyBorder="1"/>
    <xf numFmtId="168" fontId="11" fillId="0" borderId="0" xfId="4" applyNumberFormat="1" applyFont="1" applyFill="1"/>
    <xf numFmtId="176" fontId="9" fillId="0" borderId="0" xfId="0" applyNumberFormat="1" applyFont="1"/>
    <xf numFmtId="177" fontId="9" fillId="0" borderId="0" xfId="0" applyNumberFormat="1" applyFont="1"/>
    <xf numFmtId="0" fontId="10" fillId="0" borderId="0" xfId="0" applyFont="1"/>
    <xf numFmtId="178" fontId="10" fillId="0" borderId="0" xfId="0" applyNumberFormat="1" applyFont="1"/>
    <xf numFmtId="0" fontId="11" fillId="0" borderId="0" xfId="0" applyFont="1"/>
    <xf numFmtId="0" fontId="7" fillId="0" borderId="11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39" fillId="0" borderId="0" xfId="0" applyFont="1"/>
    <xf numFmtId="174" fontId="15" fillId="0" borderId="0" xfId="0" applyNumberFormat="1" applyFont="1" applyAlignment="1">
      <alignment horizontal="center"/>
    </xf>
    <xf numFmtId="0" fontId="15" fillId="0" borderId="0" xfId="0" applyFont="1"/>
    <xf numFmtId="179" fontId="14" fillId="0" borderId="0" xfId="0" applyNumberFormat="1" applyFont="1"/>
    <xf numFmtId="165" fontId="15" fillId="0" borderId="0" xfId="4" applyFont="1" applyBorder="1" applyAlignment="1">
      <alignment horizontal="left" indent="1"/>
    </xf>
    <xf numFmtId="180" fontId="14" fillId="0" borderId="0" xfId="0" applyNumberFormat="1" applyFont="1"/>
    <xf numFmtId="0" fontId="16" fillId="2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181" fontId="22" fillId="0" borderId="0" xfId="0" applyNumberFormat="1" applyFont="1"/>
    <xf numFmtId="181" fontId="21" fillId="5" borderId="1" xfId="0" applyNumberFormat="1" applyFont="1" applyFill="1" applyBorder="1" applyAlignment="1">
      <alignment horizontal="center"/>
    </xf>
    <xf numFmtId="168" fontId="23" fillId="0" borderId="0" xfId="4" applyNumberFormat="1" applyFont="1" applyFill="1"/>
    <xf numFmtId="168" fontId="23" fillId="0" borderId="0" xfId="4" applyNumberFormat="1" applyFont="1"/>
    <xf numFmtId="181" fontId="23" fillId="0" borderId="0" xfId="0" applyNumberFormat="1" applyFont="1" applyAlignment="1">
      <alignment horizontal="center"/>
    </xf>
    <xf numFmtId="0" fontId="23" fillId="0" borderId="0" xfId="0" applyFont="1"/>
    <xf numFmtId="168" fontId="23" fillId="9" borderId="0" xfId="4" applyNumberFormat="1" applyFont="1" applyFill="1"/>
    <xf numFmtId="181" fontId="23" fillId="7" borderId="0" xfId="0" applyNumberFormat="1" applyFont="1" applyFill="1" applyAlignment="1">
      <alignment horizontal="center"/>
    </xf>
    <xf numFmtId="171" fontId="23" fillId="0" borderId="0" xfId="0" applyNumberFormat="1" applyFont="1" applyAlignment="1">
      <alignment horizontal="center"/>
    </xf>
    <xf numFmtId="168" fontId="23" fillId="0" borderId="0" xfId="4" applyNumberFormat="1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5" borderId="16" xfId="0" applyFont="1" applyFill="1" applyBorder="1" applyAlignment="1">
      <alignment horizontal="center"/>
    </xf>
    <xf numFmtId="168" fontId="11" fillId="0" borderId="1" xfId="4" applyNumberFormat="1" applyFont="1" applyBorder="1"/>
    <xf numFmtId="0" fontId="11" fillId="0" borderId="1" xfId="0" applyFont="1" applyBorder="1" applyAlignment="1">
      <alignment horizontal="center"/>
    </xf>
    <xf numFmtId="165" fontId="11" fillId="0" borderId="1" xfId="4" applyFont="1" applyFill="1" applyBorder="1" applyAlignment="1">
      <alignment horizontal="right"/>
    </xf>
    <xf numFmtId="4" fontId="20" fillId="0" borderId="0" xfId="0" applyNumberFormat="1" applyFo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4" fillId="8" borderId="1" xfId="0" applyFont="1" applyFill="1" applyBorder="1" applyAlignment="1">
      <alignment horizontal="right"/>
    </xf>
    <xf numFmtId="0" fontId="20" fillId="0" borderId="6" xfId="0" applyFont="1" applyBorder="1" applyAlignment="1">
      <alignment horizontal="center"/>
    </xf>
    <xf numFmtId="4" fontId="20" fillId="10" borderId="8" xfId="0" applyNumberFormat="1" applyFont="1" applyFill="1" applyBorder="1" applyAlignment="1">
      <alignment horizontal="center"/>
    </xf>
    <xf numFmtId="0" fontId="20" fillId="10" borderId="8" xfId="0" applyFont="1" applyFill="1" applyBorder="1" applyAlignment="1">
      <alignment horizontal="center"/>
    </xf>
    <xf numFmtId="4" fontId="20" fillId="10" borderId="12" xfId="0" applyNumberFormat="1" applyFont="1" applyFill="1" applyBorder="1" applyAlignment="1">
      <alignment horizontal="center"/>
    </xf>
    <xf numFmtId="0" fontId="20" fillId="10" borderId="12" xfId="0" applyFont="1" applyFill="1" applyBorder="1" applyAlignment="1">
      <alignment horizontal="center"/>
    </xf>
    <xf numFmtId="4" fontId="0" fillId="0" borderId="0" xfId="0" applyNumberFormat="1"/>
    <xf numFmtId="181" fontId="3" fillId="0" borderId="0" xfId="0" applyNumberFormat="1" applyFont="1"/>
    <xf numFmtId="0" fontId="38" fillId="0" borderId="0" xfId="0" applyFont="1"/>
    <xf numFmtId="172" fontId="0" fillId="0" borderId="0" xfId="0" applyNumberFormat="1"/>
    <xf numFmtId="0" fontId="40" fillId="0" borderId="0" xfId="0" applyFont="1"/>
    <xf numFmtId="0" fontId="38" fillId="11" borderId="17" xfId="0" applyFont="1" applyFill="1" applyBorder="1"/>
    <xf numFmtId="0" fontId="41" fillId="0" borderId="0" xfId="0" applyFont="1"/>
    <xf numFmtId="0" fontId="38" fillId="9" borderId="0" xfId="0" applyFont="1" applyFill="1" applyAlignment="1">
      <alignment horizontal="center"/>
    </xf>
    <xf numFmtId="171" fontId="42" fillId="12" borderId="1" xfId="0" applyNumberFormat="1" applyFont="1" applyFill="1" applyBorder="1"/>
    <xf numFmtId="0" fontId="43" fillId="12" borderId="1" xfId="0" applyFont="1" applyFill="1" applyBorder="1"/>
    <xf numFmtId="171" fontId="42" fillId="7" borderId="1" xfId="0" applyNumberFormat="1" applyFont="1" applyFill="1" applyBorder="1"/>
    <xf numFmtId="0" fontId="43" fillId="7" borderId="1" xfId="0" applyFont="1" applyFill="1" applyBorder="1"/>
    <xf numFmtId="171" fontId="0" fillId="0" borderId="0" xfId="0" applyNumberFormat="1"/>
    <xf numFmtId="0" fontId="10" fillId="11" borderId="11" xfId="0" applyFont="1" applyFill="1" applyBorder="1"/>
    <xf numFmtId="0" fontId="10" fillId="0" borderId="11" xfId="0" applyFont="1" applyBorder="1"/>
    <xf numFmtId="0" fontId="10" fillId="0" borderId="1" xfId="0" applyFont="1" applyBorder="1"/>
    <xf numFmtId="170" fontId="43" fillId="11" borderId="11" xfId="0" applyNumberFormat="1" applyFont="1" applyFill="1" applyBorder="1"/>
    <xf numFmtId="165" fontId="36" fillId="0" borderId="0" xfId="4" applyFont="1"/>
    <xf numFmtId="43" fontId="0" fillId="0" borderId="0" xfId="0" applyNumberFormat="1"/>
    <xf numFmtId="2" fontId="0" fillId="0" borderId="0" xfId="0" applyNumberFormat="1"/>
    <xf numFmtId="175" fontId="0" fillId="0" borderId="0" xfId="0" applyNumberFormat="1"/>
    <xf numFmtId="0" fontId="38" fillId="13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4" fillId="0" borderId="0" xfId="4" applyNumberFormat="1" applyFont="1" applyBorder="1"/>
    <xf numFmtId="4" fontId="45" fillId="14" borderId="1" xfId="0" applyNumberFormat="1" applyFont="1" applyFill="1" applyBorder="1"/>
    <xf numFmtId="0" fontId="43" fillId="14" borderId="1" xfId="0" applyFont="1" applyFill="1" applyBorder="1"/>
    <xf numFmtId="4" fontId="43" fillId="13" borderId="1" xfId="0" applyNumberFormat="1" applyFont="1" applyFill="1" applyBorder="1"/>
    <xf numFmtId="0" fontId="10" fillId="13" borderId="1" xfId="0" applyFont="1" applyFill="1" applyBorder="1"/>
    <xf numFmtId="165" fontId="44" fillId="0" borderId="1" xfId="4" applyFont="1" applyBorder="1"/>
    <xf numFmtId="165" fontId="44" fillId="0" borderId="1" xfId="4" applyFont="1" applyBorder="1" applyAlignment="1">
      <alignment horizontal="center"/>
    </xf>
    <xf numFmtId="44" fontId="46" fillId="10" borderId="1" xfId="0" applyNumberFormat="1" applyFont="1" applyFill="1" applyBorder="1"/>
    <xf numFmtId="0" fontId="46" fillId="10" borderId="1" xfId="0" applyFont="1" applyFill="1" applyBorder="1" applyAlignment="1">
      <alignment horizontal="right"/>
    </xf>
    <xf numFmtId="44" fontId="46" fillId="11" borderId="6" xfId="1" applyNumberFormat="1" applyFont="1" applyFill="1" applyBorder="1"/>
    <xf numFmtId="0" fontId="47" fillId="0" borderId="1" xfId="0" applyFont="1" applyBorder="1" applyAlignment="1">
      <alignment horizontal="center"/>
    </xf>
    <xf numFmtId="184" fontId="46" fillId="10" borderId="1" xfId="4" applyNumberFormat="1" applyFont="1" applyFill="1" applyBorder="1"/>
    <xf numFmtId="185" fontId="41" fillId="0" borderId="0" xfId="4" applyNumberFormat="1" applyFont="1"/>
    <xf numFmtId="0" fontId="41" fillId="11" borderId="10" xfId="0" applyFont="1" applyFill="1" applyBorder="1" applyAlignment="1">
      <alignment horizontal="center"/>
    </xf>
    <xf numFmtId="0" fontId="41" fillId="11" borderId="11" xfId="0" applyFont="1" applyFill="1" applyBorder="1"/>
    <xf numFmtId="0" fontId="41" fillId="0" borderId="13" xfId="0" applyFont="1" applyBorder="1" applyAlignment="1">
      <alignment horizontal="center"/>
    </xf>
    <xf numFmtId="0" fontId="41" fillId="0" borderId="8" xfId="0" applyFont="1" applyBorder="1"/>
    <xf numFmtId="0" fontId="41" fillId="11" borderId="13" xfId="0" applyFont="1" applyFill="1" applyBorder="1" applyAlignment="1">
      <alignment horizontal="center"/>
    </xf>
    <xf numFmtId="0" fontId="41" fillId="11" borderId="8" xfId="0" applyFont="1" applyFill="1" applyBorder="1"/>
    <xf numFmtId="0" fontId="41" fillId="11" borderId="4" xfId="0" applyFont="1" applyFill="1" applyBorder="1" applyAlignment="1">
      <alignment horizontal="center"/>
    </xf>
    <xf numFmtId="185" fontId="41" fillId="0" borderId="0" xfId="0" applyNumberFormat="1" applyFont="1"/>
    <xf numFmtId="0" fontId="45" fillId="0" borderId="0" xfId="0" applyFont="1"/>
    <xf numFmtId="17" fontId="45" fillId="0" borderId="0" xfId="0" applyNumberFormat="1" applyFont="1"/>
    <xf numFmtId="175" fontId="41" fillId="0" borderId="0" xfId="0" applyNumberFormat="1" applyFont="1"/>
    <xf numFmtId="43" fontId="3" fillId="0" borderId="0" xfId="0" applyNumberFormat="1" applyFont="1"/>
    <xf numFmtId="179" fontId="0" fillId="0" borderId="0" xfId="4" applyNumberFormat="1" applyFont="1"/>
    <xf numFmtId="189" fontId="0" fillId="0" borderId="0" xfId="0" applyNumberFormat="1"/>
    <xf numFmtId="10" fontId="43" fillId="0" borderId="11" xfId="0" applyNumberFormat="1" applyFont="1" applyBorder="1"/>
    <xf numFmtId="186" fontId="41" fillId="11" borderId="5" xfId="4" applyNumberFormat="1" applyFont="1" applyFill="1" applyBorder="1" applyAlignment="1">
      <alignment horizontal="center"/>
    </xf>
    <xf numFmtId="186" fontId="41" fillId="0" borderId="14" xfId="4" applyNumberFormat="1" applyFont="1" applyBorder="1" applyAlignment="1">
      <alignment horizontal="center"/>
    </xf>
    <xf numFmtId="43" fontId="41" fillId="11" borderId="14" xfId="4" applyNumberFormat="1" applyFont="1" applyFill="1" applyBorder="1" applyAlignment="1">
      <alignment horizontal="center"/>
    </xf>
    <xf numFmtId="43" fontId="41" fillId="0" borderId="14" xfId="4" applyNumberFormat="1" applyFont="1" applyBorder="1" applyAlignment="1">
      <alignment horizontal="center"/>
    </xf>
    <xf numFmtId="184" fontId="46" fillId="11" borderId="18" xfId="4" applyNumberFormat="1" applyFont="1" applyFill="1" applyBorder="1" applyAlignment="1">
      <alignment horizontal="center"/>
    </xf>
    <xf numFmtId="0" fontId="20" fillId="0" borderId="1" xfId="0" applyFont="1" applyBorder="1"/>
    <xf numFmtId="0" fontId="20" fillId="0" borderId="1" xfId="0" applyFont="1" applyBorder="1" applyAlignment="1">
      <alignment horizontal="center"/>
    </xf>
    <xf numFmtId="179" fontId="14" fillId="0" borderId="0" xfId="4" applyNumberFormat="1" applyFont="1"/>
    <xf numFmtId="175" fontId="14" fillId="0" borderId="0" xfId="0" applyNumberFormat="1" applyFont="1"/>
    <xf numFmtId="165" fontId="40" fillId="0" borderId="0" xfId="4" applyFont="1"/>
    <xf numFmtId="169" fontId="3" fillId="0" borderId="0" xfId="0" applyNumberFormat="1" applyFont="1"/>
    <xf numFmtId="172" fontId="5" fillId="0" borderId="0" xfId="0" applyNumberFormat="1" applyFont="1"/>
    <xf numFmtId="168" fontId="3" fillId="9" borderId="8" xfId="4" applyNumberFormat="1" applyFont="1" applyFill="1" applyBorder="1" applyAlignment="1">
      <alignment horizontal="right"/>
    </xf>
    <xf numFmtId="0" fontId="41" fillId="9" borderId="13" xfId="0" applyFont="1" applyFill="1" applyBorder="1" applyAlignment="1">
      <alignment horizontal="center"/>
    </xf>
    <xf numFmtId="2" fontId="41" fillId="0" borderId="0" xfId="0" applyNumberFormat="1" applyFont="1"/>
    <xf numFmtId="173" fontId="3" fillId="0" borderId="0" xfId="0" applyNumberFormat="1" applyFont="1"/>
    <xf numFmtId="168" fontId="11" fillId="0" borderId="0" xfId="4" applyNumberFormat="1" applyFont="1" applyBorder="1"/>
    <xf numFmtId="10" fontId="43" fillId="0" borderId="11" xfId="0" applyNumberFormat="1" applyFont="1" applyBorder="1" applyAlignment="1">
      <alignment horizontal="right"/>
    </xf>
    <xf numFmtId="168" fontId="3" fillId="9" borderId="8" xfId="0" applyNumberFormat="1" applyFont="1" applyFill="1" applyBorder="1"/>
    <xf numFmtId="168" fontId="3" fillId="9" borderId="8" xfId="0" applyNumberFormat="1" applyFont="1" applyFill="1" applyBorder="1" applyAlignment="1">
      <alignment horizontal="right"/>
    </xf>
    <xf numFmtId="165" fontId="3" fillId="9" borderId="0" xfId="4" applyFont="1" applyFill="1" applyBorder="1" applyAlignment="1">
      <alignment horizontal="right"/>
    </xf>
    <xf numFmtId="169" fontId="3" fillId="9" borderId="0" xfId="4" applyNumberFormat="1" applyFont="1" applyFill="1" applyBorder="1" applyAlignment="1">
      <alignment horizontal="right"/>
    </xf>
    <xf numFmtId="169" fontId="3" fillId="9" borderId="8" xfId="4" applyNumberFormat="1" applyFont="1" applyFill="1" applyBorder="1"/>
    <xf numFmtId="10" fontId="7" fillId="0" borderId="8" xfId="2" applyNumberFormat="1" applyFont="1" applyFill="1" applyBorder="1" applyAlignment="1">
      <alignment horizontal="right"/>
    </xf>
    <xf numFmtId="165" fontId="44" fillId="0" borderId="15" xfId="4" applyFont="1" applyFill="1" applyBorder="1"/>
    <xf numFmtId="166" fontId="37" fillId="9" borderId="0" xfId="3" applyNumberFormat="1" applyFill="1" applyBorder="1"/>
    <xf numFmtId="168" fontId="28" fillId="0" borderId="1" xfId="4" applyNumberFormat="1" applyFont="1" applyBorder="1"/>
    <xf numFmtId="168" fontId="27" fillId="11" borderId="1" xfId="0" applyNumberFormat="1" applyFont="1" applyFill="1" applyBorder="1"/>
    <xf numFmtId="185" fontId="14" fillId="0" borderId="0" xfId="0" applyNumberFormat="1" applyFont="1"/>
    <xf numFmtId="165" fontId="3" fillId="0" borderId="0" xfId="0" applyNumberFormat="1" applyFont="1"/>
    <xf numFmtId="43" fontId="41" fillId="0" borderId="0" xfId="0" applyNumberFormat="1" applyFont="1"/>
    <xf numFmtId="165" fontId="3" fillId="9" borderId="8" xfId="4" applyFont="1" applyFill="1" applyBorder="1" applyAlignment="1">
      <alignment horizontal="right"/>
    </xf>
    <xf numFmtId="169" fontId="3" fillId="9" borderId="8" xfId="4" applyNumberFormat="1" applyFont="1" applyFill="1" applyBorder="1" applyAlignment="1">
      <alignment horizontal="right"/>
    </xf>
    <xf numFmtId="168" fontId="3" fillId="9" borderId="13" xfId="4" applyNumberFormat="1" applyFont="1" applyFill="1" applyBorder="1" applyAlignment="1">
      <alignment horizontal="right"/>
    </xf>
    <xf numFmtId="169" fontId="3" fillId="9" borderId="12" xfId="4" applyNumberFormat="1" applyFont="1" applyFill="1" applyBorder="1" applyAlignment="1">
      <alignment horizontal="right"/>
    </xf>
    <xf numFmtId="168" fontId="3" fillId="9" borderId="14" xfId="0" applyNumberFormat="1" applyFont="1" applyFill="1" applyBorder="1" applyAlignment="1">
      <alignment horizontal="right"/>
    </xf>
    <xf numFmtId="168" fontId="3" fillId="9" borderId="8" xfId="4" applyNumberFormat="1" applyFont="1" applyFill="1" applyBorder="1"/>
    <xf numFmtId="168" fontId="3" fillId="9" borderId="13" xfId="0" applyNumberFormat="1" applyFont="1" applyFill="1" applyBorder="1" applyAlignment="1">
      <alignment horizontal="right"/>
    </xf>
    <xf numFmtId="169" fontId="3" fillId="9" borderId="8" xfId="0" applyNumberFormat="1" applyFont="1" applyFill="1" applyBorder="1"/>
    <xf numFmtId="165" fontId="3" fillId="9" borderId="8" xfId="4" applyFont="1" applyFill="1" applyBorder="1"/>
    <xf numFmtId="168" fontId="3" fillId="9" borderId="0" xfId="0" applyNumberFormat="1" applyFont="1" applyFill="1"/>
    <xf numFmtId="4" fontId="12" fillId="10" borderId="1" xfId="0" applyNumberFormat="1" applyFont="1" applyFill="1" applyBorder="1"/>
    <xf numFmtId="10" fontId="7" fillId="0" borderId="8" xfId="4" applyNumberFormat="1" applyFont="1" applyFill="1" applyBorder="1" applyAlignment="1">
      <alignment horizontal="right"/>
    </xf>
    <xf numFmtId="10" fontId="7" fillId="0" borderId="8" xfId="2" applyNumberFormat="1" applyFont="1" applyFill="1" applyBorder="1"/>
    <xf numFmtId="173" fontId="0" fillId="0" borderId="0" xfId="0" applyNumberFormat="1"/>
    <xf numFmtId="0" fontId="1" fillId="0" borderId="0" xfId="0" applyFont="1"/>
    <xf numFmtId="187" fontId="41" fillId="0" borderId="0" xfId="0" applyNumberFormat="1" applyFont="1"/>
    <xf numFmtId="10" fontId="1" fillId="0" borderId="0" xfId="0" applyNumberFormat="1" applyFont="1"/>
    <xf numFmtId="168" fontId="11" fillId="0" borderId="11" xfId="4" applyNumberFormat="1" applyFont="1" applyBorder="1"/>
    <xf numFmtId="0" fontId="48" fillId="0" borderId="0" xfId="0" applyFont="1"/>
    <xf numFmtId="165" fontId="10" fillId="0" borderId="15" xfId="4" applyFont="1" applyFill="1" applyBorder="1"/>
    <xf numFmtId="0" fontId="1" fillId="0" borderId="8" xfId="0" applyFont="1" applyBorder="1"/>
    <xf numFmtId="4" fontId="10" fillId="0" borderId="1" xfId="0" applyNumberFormat="1" applyFont="1" applyBorder="1"/>
    <xf numFmtId="4" fontId="12" fillId="8" borderId="1" xfId="0" applyNumberFormat="1" applyFont="1" applyFill="1" applyBorder="1"/>
    <xf numFmtId="182" fontId="30" fillId="0" borderId="0" xfId="0" applyNumberFormat="1" applyFont="1"/>
    <xf numFmtId="188" fontId="14" fillId="0" borderId="0" xfId="0" applyNumberFormat="1" applyFont="1"/>
    <xf numFmtId="175" fontId="10" fillId="0" borderId="0" xfId="0" applyNumberFormat="1" applyFont="1"/>
    <xf numFmtId="189" fontId="40" fillId="0" borderId="0" xfId="0" applyNumberFormat="1" applyFont="1"/>
    <xf numFmtId="179" fontId="31" fillId="0" borderId="0" xfId="4" applyNumberFormat="1" applyFont="1"/>
    <xf numFmtId="0" fontId="1" fillId="0" borderId="13" xfId="0" applyFont="1" applyBorder="1" applyAlignment="1">
      <alignment horizontal="justify"/>
    </xf>
    <xf numFmtId="0" fontId="49" fillId="0" borderId="0" xfId="0" applyFont="1"/>
    <xf numFmtId="191" fontId="40" fillId="0" borderId="0" xfId="4" applyNumberFormat="1" applyFont="1"/>
    <xf numFmtId="172" fontId="50" fillId="0" borderId="0" xfId="0" applyNumberFormat="1" applyFont="1"/>
    <xf numFmtId="17" fontId="24" fillId="8" borderId="6" xfId="0" applyNumberFormat="1" applyFont="1" applyFill="1" applyBorder="1" applyAlignment="1">
      <alignment horizontal="right"/>
    </xf>
    <xf numFmtId="0" fontId="4" fillId="0" borderId="13" xfId="0" applyFont="1" applyBorder="1" applyAlignment="1">
      <alignment horizontal="justify"/>
    </xf>
    <xf numFmtId="165" fontId="9" fillId="0" borderId="0" xfId="4" applyFont="1"/>
    <xf numFmtId="175" fontId="17" fillId="0" borderId="0" xfId="0" applyNumberFormat="1" applyFont="1"/>
    <xf numFmtId="4" fontId="12" fillId="9" borderId="1" xfId="0" applyNumberFormat="1" applyFont="1" applyFill="1" applyBorder="1"/>
    <xf numFmtId="0" fontId="20" fillId="9" borderId="1" xfId="0" applyFont="1" applyFill="1" applyBorder="1" applyAlignment="1">
      <alignment horizontal="left"/>
    </xf>
    <xf numFmtId="17" fontId="20" fillId="9" borderId="6" xfId="0" applyNumberFormat="1" applyFont="1" applyFill="1" applyBorder="1" applyAlignment="1">
      <alignment horizontal="center"/>
    </xf>
    <xf numFmtId="4" fontId="10" fillId="9" borderId="1" xfId="0" applyNumberFormat="1" applyFont="1" applyFill="1" applyBorder="1"/>
    <xf numFmtId="10" fontId="51" fillId="11" borderId="1" xfId="2" applyNumberFormat="1" applyFont="1" applyFill="1" applyBorder="1"/>
    <xf numFmtId="0" fontId="41" fillId="11" borderId="1" xfId="0" applyFont="1" applyFill="1" applyBorder="1" applyAlignment="1">
      <alignment horizontal="center"/>
    </xf>
    <xf numFmtId="168" fontId="11" fillId="9" borderId="1" xfId="4" applyNumberFormat="1" applyFont="1" applyFill="1" applyBorder="1"/>
    <xf numFmtId="4" fontId="1" fillId="0" borderId="0" xfId="0" applyNumberFormat="1" applyFont="1"/>
    <xf numFmtId="173" fontId="11" fillId="0" borderId="1" xfId="0" applyNumberFormat="1" applyFont="1" applyBorder="1"/>
    <xf numFmtId="168" fontId="23" fillId="9" borderId="0" xfId="0" applyNumberFormat="1" applyFont="1" applyFill="1" applyAlignment="1">
      <alignment horizontal="right"/>
    </xf>
    <xf numFmtId="0" fontId="24" fillId="8" borderId="7" xfId="0" applyFont="1" applyFill="1" applyBorder="1" applyAlignment="1">
      <alignment horizontal="right"/>
    </xf>
    <xf numFmtId="4" fontId="3" fillId="0" borderId="0" xfId="0" applyNumberFormat="1" applyFont="1"/>
    <xf numFmtId="168" fontId="21" fillId="0" borderId="1" xfId="0" applyNumberFormat="1" applyFont="1" applyBorder="1"/>
    <xf numFmtId="165" fontId="41" fillId="11" borderId="6" xfId="4" applyFont="1" applyFill="1" applyBorder="1" applyAlignment="1">
      <alignment horizontal="center"/>
    </xf>
    <xf numFmtId="0" fontId="14" fillId="9" borderId="0" xfId="0" applyFont="1" applyFill="1"/>
    <xf numFmtId="0" fontId="16" fillId="9" borderId="0" xfId="0" applyFont="1" applyFill="1" applyAlignment="1">
      <alignment horizontal="center"/>
    </xf>
    <xf numFmtId="0" fontId="17" fillId="9" borderId="0" xfId="0" applyFont="1" applyFill="1" applyAlignment="1">
      <alignment horizontal="justify"/>
    </xf>
    <xf numFmtId="165" fontId="17" fillId="9" borderId="0" xfId="4" applyFont="1" applyFill="1" applyBorder="1"/>
    <xf numFmtId="10" fontId="17" fillId="9" borderId="0" xfId="2" applyNumberFormat="1" applyFont="1" applyFill="1" applyBorder="1" applyAlignment="1">
      <alignment horizontal="center"/>
    </xf>
    <xf numFmtId="10" fontId="17" fillId="9" borderId="0" xfId="4" applyNumberFormat="1" applyFont="1" applyFill="1" applyBorder="1" applyAlignment="1">
      <alignment horizontal="center"/>
    </xf>
    <xf numFmtId="165" fontId="17" fillId="9" borderId="0" xfId="4" applyFont="1" applyFill="1" applyBorder="1" applyAlignment="1">
      <alignment horizontal="left" indent="1"/>
    </xf>
    <xf numFmtId="10" fontId="3" fillId="0" borderId="0" xfId="2" applyNumberFormat="1" applyFont="1" applyBorder="1"/>
    <xf numFmtId="0" fontId="20" fillId="0" borderId="6" xfId="0" applyFont="1" applyBorder="1" applyAlignment="1">
      <alignment horizontal="left"/>
    </xf>
    <xf numFmtId="0" fontId="24" fillId="8" borderId="6" xfId="0" applyFont="1" applyFill="1" applyBorder="1" applyAlignment="1">
      <alignment horizontal="right"/>
    </xf>
    <xf numFmtId="0" fontId="20" fillId="9" borderId="6" xfId="0" applyFont="1" applyFill="1" applyBorder="1" applyAlignment="1">
      <alignment horizontal="left"/>
    </xf>
    <xf numFmtId="168" fontId="1" fillId="9" borderId="8" xfId="4" applyNumberFormat="1" applyFont="1" applyFill="1" applyBorder="1" applyAlignment="1">
      <alignment horizontal="right"/>
    </xf>
    <xf numFmtId="0" fontId="20" fillId="9" borderId="1" xfId="0" applyFont="1" applyFill="1" applyBorder="1"/>
    <xf numFmtId="0" fontId="1" fillId="0" borderId="8" xfId="0" applyFont="1" applyBorder="1" applyAlignment="1">
      <alignment horizontal="justify"/>
    </xf>
    <xf numFmtId="10" fontId="3" fillId="0" borderId="0" xfId="2" applyNumberFormat="1" applyFont="1" applyFill="1"/>
    <xf numFmtId="10" fontId="3" fillId="0" borderId="0" xfId="0" applyNumberFormat="1" applyFont="1"/>
    <xf numFmtId="0" fontId="1" fillId="0" borderId="8" xfId="0" applyFont="1" applyBorder="1" applyAlignment="1">
      <alignment horizontal="left"/>
    </xf>
    <xf numFmtId="10" fontId="7" fillId="15" borderId="1" xfId="2" applyNumberFormat="1" applyFont="1" applyFill="1" applyBorder="1"/>
    <xf numFmtId="0" fontId="15" fillId="0" borderId="0" xfId="0" applyFont="1" applyAlignment="1">
      <alignment horizontal="center"/>
    </xf>
    <xf numFmtId="9" fontId="15" fillId="0" borderId="0" xfId="2" applyFont="1" applyBorder="1"/>
    <xf numFmtId="168" fontId="21" fillId="0" borderId="11" xfId="0" applyNumberFormat="1" applyFont="1" applyBorder="1"/>
    <xf numFmtId="181" fontId="21" fillId="5" borderId="11" xfId="0" applyNumberFormat="1" applyFont="1" applyFill="1" applyBorder="1" applyAlignment="1">
      <alignment horizontal="center"/>
    </xf>
    <xf numFmtId="168" fontId="21" fillId="0" borderId="11" xfId="4" applyNumberFormat="1" applyFont="1" applyBorder="1"/>
    <xf numFmtId="168" fontId="21" fillId="0" borderId="10" xfId="0" applyNumberFormat="1" applyFont="1" applyBorder="1"/>
    <xf numFmtId="0" fontId="21" fillId="0" borderId="1" xfId="0" applyFont="1" applyBorder="1" applyAlignment="1">
      <alignment horizontal="center"/>
    </xf>
    <xf numFmtId="0" fontId="11" fillId="0" borderId="1" xfId="0" applyFont="1" applyBorder="1"/>
    <xf numFmtId="10" fontId="17" fillId="0" borderId="11" xfId="2" applyNumberFormat="1" applyFont="1" applyBorder="1" applyAlignment="1">
      <alignment horizontal="center"/>
    </xf>
    <xf numFmtId="173" fontId="11" fillId="9" borderId="1" xfId="0" applyNumberFormat="1" applyFont="1" applyFill="1" applyBorder="1"/>
    <xf numFmtId="0" fontId="11" fillId="9" borderId="0" xfId="0" applyFont="1" applyFill="1"/>
    <xf numFmtId="0" fontId="7" fillId="0" borderId="0" xfId="0" applyFont="1" applyAlignment="1">
      <alignment horizontal="center"/>
    </xf>
    <xf numFmtId="168" fontId="7" fillId="9" borderId="0" xfId="4" applyNumberFormat="1" applyFont="1" applyFill="1" applyBorder="1"/>
    <xf numFmtId="10" fontId="7" fillId="9" borderId="0" xfId="2" applyNumberFormat="1" applyFont="1" applyFill="1" applyBorder="1"/>
    <xf numFmtId="173" fontId="1" fillId="0" borderId="0" xfId="0" applyNumberFormat="1" applyFont="1"/>
    <xf numFmtId="4" fontId="10" fillId="0" borderId="0" xfId="0" applyNumberFormat="1" applyFont="1"/>
    <xf numFmtId="0" fontId="20" fillId="9" borderId="8" xfId="0" applyFont="1" applyFill="1" applyBorder="1" applyAlignment="1">
      <alignment horizontal="left"/>
    </xf>
    <xf numFmtId="0" fontId="20" fillId="9" borderId="14" xfId="0" applyFont="1" applyFill="1" applyBorder="1" applyAlignment="1">
      <alignment horizontal="left"/>
    </xf>
    <xf numFmtId="9" fontId="51" fillId="11" borderId="0" xfId="2" applyFont="1" applyFill="1" applyBorder="1"/>
    <xf numFmtId="165" fontId="51" fillId="0" borderId="0" xfId="4" applyFont="1" applyBorder="1"/>
    <xf numFmtId="10" fontId="51" fillId="11" borderId="0" xfId="2" applyNumberFormat="1" applyFont="1" applyFill="1" applyBorder="1"/>
    <xf numFmtId="10" fontId="51" fillId="0" borderId="0" xfId="2" applyNumberFormat="1" applyFont="1" applyBorder="1"/>
    <xf numFmtId="186" fontId="41" fillId="11" borderId="5" xfId="4" applyNumberFormat="1" applyFont="1" applyFill="1" applyBorder="1"/>
    <xf numFmtId="186" fontId="41" fillId="0" borderId="14" xfId="4" applyNumberFormat="1" applyFont="1" applyFill="1" applyBorder="1" applyAlignment="1">
      <alignment horizontal="right"/>
    </xf>
    <xf numFmtId="165" fontId="41" fillId="11" borderId="14" xfId="4" applyFont="1" applyFill="1" applyBorder="1"/>
    <xf numFmtId="171" fontId="7" fillId="7" borderId="8" xfId="0" applyNumberFormat="1" applyFont="1" applyFill="1" applyBorder="1"/>
    <xf numFmtId="168" fontId="7" fillId="7" borderId="8" xfId="4" applyNumberFormat="1" applyFont="1" applyFill="1" applyBorder="1"/>
    <xf numFmtId="168" fontId="7" fillId="7" borderId="8" xfId="0" applyNumberFormat="1" applyFont="1" applyFill="1" applyBorder="1"/>
    <xf numFmtId="168" fontId="7" fillId="7" borderId="11" xfId="4" applyNumberFormat="1" applyFont="1" applyFill="1" applyBorder="1"/>
    <xf numFmtId="165" fontId="44" fillId="0" borderId="19" xfId="4" applyFont="1" applyFill="1" applyBorder="1"/>
    <xf numFmtId="165" fontId="44" fillId="0" borderId="7" xfId="4" applyFont="1" applyBorder="1"/>
    <xf numFmtId="165" fontId="44" fillId="0" borderId="7" xfId="4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8" fontId="4" fillId="7" borderId="11" xfId="0" applyNumberFormat="1" applyFont="1" applyFill="1" applyBorder="1"/>
    <xf numFmtId="0" fontId="21" fillId="9" borderId="0" xfId="0" applyFont="1" applyFill="1"/>
    <xf numFmtId="168" fontId="1" fillId="9" borderId="0" xfId="0" applyNumberFormat="1" applyFont="1" applyFill="1" applyAlignment="1">
      <alignment horizontal="right"/>
    </xf>
    <xf numFmtId="0" fontId="21" fillId="0" borderId="1" xfId="0" applyFont="1" applyBorder="1"/>
    <xf numFmtId="171" fontId="7" fillId="7" borderId="13" xfId="0" applyNumberFormat="1" applyFont="1" applyFill="1" applyBorder="1"/>
    <xf numFmtId="0" fontId="17" fillId="8" borderId="8" xfId="0" applyFont="1" applyFill="1" applyBorder="1" applyAlignment="1">
      <alignment horizontal="justify"/>
    </xf>
    <xf numFmtId="165" fontId="17" fillId="8" borderId="8" xfId="4" applyFont="1" applyFill="1" applyBorder="1"/>
    <xf numFmtId="10" fontId="17" fillId="8" borderId="12" xfId="2" applyNumberFormat="1" applyFont="1" applyFill="1" applyBorder="1" applyAlignment="1">
      <alignment horizontal="center"/>
    </xf>
    <xf numFmtId="17" fontId="41" fillId="11" borderId="7" xfId="0" applyNumberFormat="1" applyFont="1" applyFill="1" applyBorder="1" applyAlignment="1">
      <alignment horizontal="center"/>
    </xf>
    <xf numFmtId="0" fontId="41" fillId="0" borderId="13" xfId="0" applyFont="1" applyBorder="1"/>
    <xf numFmtId="169" fontId="3" fillId="9" borderId="0" xfId="0" applyNumberFormat="1" applyFont="1" applyFill="1"/>
    <xf numFmtId="0" fontId="1" fillId="0" borderId="0" xfId="0" applyFont="1" applyAlignment="1">
      <alignment horizontal="left"/>
    </xf>
    <xf numFmtId="168" fontId="1" fillId="9" borderId="13" xfId="4" applyNumberFormat="1" applyFont="1" applyFill="1" applyBorder="1" applyAlignment="1">
      <alignment horizontal="right"/>
    </xf>
    <xf numFmtId="168" fontId="1" fillId="0" borderId="0" xfId="4" applyNumberFormat="1" applyFont="1"/>
    <xf numFmtId="181" fontId="23" fillId="14" borderId="0" xfId="0" applyNumberFormat="1" applyFont="1" applyFill="1" applyAlignment="1">
      <alignment horizontal="center"/>
    </xf>
    <xf numFmtId="168" fontId="23" fillId="14" borderId="0" xfId="4" applyNumberFormat="1" applyFont="1" applyFill="1"/>
    <xf numFmtId="10" fontId="17" fillId="8" borderId="8" xfId="2" applyNumberFormat="1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32" fillId="16" borderId="1" xfId="0" applyFont="1" applyFill="1" applyBorder="1" applyAlignment="1">
      <alignment horizontal="center"/>
    </xf>
    <xf numFmtId="9" fontId="17" fillId="16" borderId="1" xfId="2" applyFont="1" applyFill="1" applyBorder="1"/>
    <xf numFmtId="165" fontId="16" fillId="16" borderId="1" xfId="4" applyFont="1" applyFill="1" applyBorder="1"/>
    <xf numFmtId="4" fontId="16" fillId="16" borderId="1" xfId="0" applyNumberFormat="1" applyFont="1" applyFill="1" applyBorder="1"/>
    <xf numFmtId="168" fontId="33" fillId="11" borderId="18" xfId="0" applyNumberFormat="1" applyFont="1" applyFill="1" applyBorder="1" applyAlignment="1">
      <alignment horizontal="right"/>
    </xf>
    <xf numFmtId="0" fontId="41" fillId="17" borderId="4" xfId="0" applyFont="1" applyFill="1" applyBorder="1"/>
    <xf numFmtId="0" fontId="41" fillId="18" borderId="13" xfId="0" applyFont="1" applyFill="1" applyBorder="1"/>
    <xf numFmtId="0" fontId="41" fillId="18" borderId="10" xfId="0" applyFont="1" applyFill="1" applyBorder="1"/>
    <xf numFmtId="0" fontId="3" fillId="0" borderId="12" xfId="0" applyFont="1" applyBorder="1"/>
    <xf numFmtId="0" fontId="20" fillId="10" borderId="11" xfId="0" applyFont="1" applyFill="1" applyBorder="1" applyAlignment="1">
      <alignment horizontal="center"/>
    </xf>
    <xf numFmtId="0" fontId="10" fillId="0" borderId="12" xfId="0" applyFont="1" applyBorder="1"/>
    <xf numFmtId="0" fontId="10" fillId="0" borderId="8" xfId="0" applyFont="1" applyBorder="1"/>
    <xf numFmtId="0" fontId="10" fillId="11" borderId="1" xfId="0" applyFont="1" applyFill="1" applyBorder="1"/>
    <xf numFmtId="4" fontId="24" fillId="0" borderId="1" xfId="0" applyNumberFormat="1" applyFont="1" applyBorder="1" applyAlignment="1">
      <alignment horizontal="center"/>
    </xf>
    <xf numFmtId="165" fontId="12" fillId="9" borderId="15" xfId="4" applyFont="1" applyFill="1" applyBorder="1"/>
    <xf numFmtId="165" fontId="4" fillId="19" borderId="15" xfId="4" applyFont="1" applyFill="1" applyBorder="1"/>
    <xf numFmtId="165" fontId="12" fillId="19" borderId="15" xfId="4" applyFont="1" applyFill="1" applyBorder="1"/>
    <xf numFmtId="165" fontId="12" fillId="9" borderId="1" xfId="0" applyNumberFormat="1" applyFont="1" applyFill="1" applyBorder="1"/>
    <xf numFmtId="4" fontId="3" fillId="0" borderId="1" xfId="0" applyNumberFormat="1" applyFont="1" applyBorder="1"/>
    <xf numFmtId="39" fontId="29" fillId="9" borderId="0" xfId="0" applyNumberFormat="1" applyFont="1" applyFill="1" applyAlignment="1">
      <alignment horizontal="center"/>
    </xf>
    <xf numFmtId="0" fontId="52" fillId="20" borderId="0" xfId="0" applyFont="1" applyFill="1"/>
    <xf numFmtId="4" fontId="52" fillId="20" borderId="0" xfId="0" applyNumberFormat="1" applyFont="1" applyFill="1"/>
    <xf numFmtId="165" fontId="52" fillId="20" borderId="0" xfId="0" applyNumberFormat="1" applyFont="1" applyFill="1"/>
    <xf numFmtId="165" fontId="3" fillId="0" borderId="1" xfId="4" applyFont="1" applyFill="1" applyBorder="1"/>
    <xf numFmtId="165" fontId="52" fillId="20" borderId="0" xfId="4" applyFont="1" applyFill="1"/>
    <xf numFmtId="43" fontId="1" fillId="0" borderId="0" xfId="0" applyNumberFormat="1" applyFont="1"/>
    <xf numFmtId="4" fontId="4" fillId="0" borderId="15" xfId="0" applyNumberFormat="1" applyFont="1" applyBorder="1"/>
    <xf numFmtId="165" fontId="4" fillId="0" borderId="15" xfId="4" applyFont="1" applyFill="1" applyBorder="1"/>
    <xf numFmtId="0" fontId="53" fillId="21" borderId="15" xfId="0" applyFont="1" applyFill="1" applyBorder="1" applyAlignment="1">
      <alignment horizontal="center"/>
    </xf>
    <xf numFmtId="165" fontId="10" fillId="9" borderId="1" xfId="0" applyNumberFormat="1" applyFont="1" applyFill="1" applyBorder="1"/>
    <xf numFmtId="165" fontId="3" fillId="22" borderId="15" xfId="4" applyFont="1" applyFill="1" applyBorder="1"/>
    <xf numFmtId="165" fontId="10" fillId="22" borderId="15" xfId="4" applyFont="1" applyFill="1" applyBorder="1"/>
    <xf numFmtId="0" fontId="3" fillId="2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0" borderId="15" xfId="4" applyFont="1" applyFill="1" applyBorder="1"/>
    <xf numFmtId="165" fontId="10" fillId="9" borderId="15" xfId="4" applyFont="1" applyFill="1" applyBorder="1"/>
    <xf numFmtId="165" fontId="1" fillId="9" borderId="15" xfId="4" applyFont="1" applyFill="1" applyBorder="1"/>
    <xf numFmtId="165" fontId="12" fillId="0" borderId="15" xfId="4" applyFont="1" applyFill="1" applyBorder="1"/>
    <xf numFmtId="10" fontId="17" fillId="8" borderId="11" xfId="2" applyNumberFormat="1" applyFont="1" applyFill="1" applyBorder="1" applyAlignment="1">
      <alignment horizontal="center"/>
    </xf>
    <xf numFmtId="43" fontId="3" fillId="0" borderId="1" xfId="0" applyNumberFormat="1" applyFont="1" applyBorder="1"/>
    <xf numFmtId="43" fontId="52" fillId="20" borderId="0" xfId="0" applyNumberFormat="1" applyFont="1" applyFill="1"/>
    <xf numFmtId="0" fontId="20" fillId="9" borderId="7" xfId="0" applyFont="1" applyFill="1" applyBorder="1" applyAlignment="1">
      <alignment horizontal="left"/>
    </xf>
    <xf numFmtId="9" fontId="0" fillId="0" borderId="0" xfId="2" applyFont="1"/>
    <xf numFmtId="10" fontId="0" fillId="0" borderId="0" xfId="2" applyNumberFormat="1" applyFont="1"/>
    <xf numFmtId="165" fontId="3" fillId="23" borderId="8" xfId="4" applyFont="1" applyFill="1" applyBorder="1"/>
    <xf numFmtId="168" fontId="1" fillId="9" borderId="0" xfId="4" applyNumberFormat="1" applyFont="1" applyFill="1"/>
    <xf numFmtId="168" fontId="11" fillId="9" borderId="8" xfId="0" applyNumberFormat="1" applyFont="1" applyFill="1" applyBorder="1" applyAlignment="1">
      <alignment horizontal="right"/>
    </xf>
    <xf numFmtId="165" fontId="10" fillId="9" borderId="1" xfId="4" applyFont="1" applyFill="1" applyBorder="1"/>
    <xf numFmtId="4" fontId="41" fillId="11" borderId="14" xfId="0" applyNumberFormat="1" applyFont="1" applyFill="1" applyBorder="1"/>
    <xf numFmtId="4" fontId="41" fillId="0" borderId="14" xfId="0" applyNumberFormat="1" applyFont="1" applyBorder="1"/>
    <xf numFmtId="168" fontId="41" fillId="11" borderId="18" xfId="4" applyNumberFormat="1" applyFont="1" applyFill="1" applyBorder="1"/>
    <xf numFmtId="0" fontId="34" fillId="11" borderId="12" xfId="0" applyFont="1" applyFill="1" applyBorder="1" applyAlignment="1">
      <alignment horizontal="center"/>
    </xf>
    <xf numFmtId="168" fontId="1" fillId="7" borderId="0" xfId="4" applyNumberFormat="1" applyFont="1" applyFill="1"/>
    <xf numFmtId="0" fontId="11" fillId="9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46" fillId="0" borderId="0" xfId="0" applyFont="1"/>
    <xf numFmtId="168" fontId="1" fillId="14" borderId="0" xfId="4" applyNumberFormat="1" applyFont="1" applyFill="1"/>
    <xf numFmtId="0" fontId="7" fillId="9" borderId="0" xfId="0" applyFont="1" applyFill="1" applyAlignment="1">
      <alignment horizontal="center"/>
    </xf>
    <xf numFmtId="165" fontId="3" fillId="0" borderId="0" xfId="4" applyFont="1"/>
    <xf numFmtId="165" fontId="1" fillId="9" borderId="8" xfId="4" applyFont="1" applyFill="1" applyBorder="1" applyAlignment="1">
      <alignment horizontal="right"/>
    </xf>
    <xf numFmtId="169" fontId="1" fillId="9" borderId="8" xfId="4" applyNumberFormat="1" applyFont="1" applyFill="1" applyBorder="1" applyAlignment="1">
      <alignment horizontal="right"/>
    </xf>
    <xf numFmtId="0" fontId="4" fillId="0" borderId="0" xfId="0" applyFont="1"/>
    <xf numFmtId="168" fontId="4" fillId="0" borderId="0" xfId="4" applyNumberFormat="1" applyFont="1" applyBorder="1"/>
    <xf numFmtId="168" fontId="1" fillId="9" borderId="8" xfId="0" applyNumberFormat="1" applyFont="1" applyFill="1" applyBorder="1"/>
    <xf numFmtId="168" fontId="1" fillId="9" borderId="8" xfId="0" applyNumberFormat="1" applyFont="1" applyFill="1" applyBorder="1" applyAlignment="1">
      <alignment horizontal="right"/>
    </xf>
    <xf numFmtId="10" fontId="0" fillId="0" borderId="7" xfId="2" applyNumberFormat="1" applyFont="1" applyFill="1" applyBorder="1" applyAlignment="1">
      <alignment horizontal="center"/>
    </xf>
    <xf numFmtId="10" fontId="0" fillId="0" borderId="6" xfId="2" applyNumberFormat="1" applyFont="1" applyFill="1" applyBorder="1" applyAlignment="1">
      <alignment horizontal="center"/>
    </xf>
    <xf numFmtId="0" fontId="53" fillId="21" borderId="20" xfId="0" applyFont="1" applyFill="1" applyBorder="1" applyAlignment="1">
      <alignment horizontal="center"/>
    </xf>
    <xf numFmtId="165" fontId="1" fillId="9" borderId="21" xfId="4" applyFont="1" applyFill="1" applyBorder="1"/>
    <xf numFmtId="165" fontId="10" fillId="9" borderId="22" xfId="4" applyFont="1" applyFill="1" applyBorder="1"/>
    <xf numFmtId="165" fontId="1" fillId="9" borderId="22" xfId="4" applyFont="1" applyFill="1" applyBorder="1"/>
    <xf numFmtId="165" fontId="12" fillId="9" borderId="22" xfId="4" applyFont="1" applyFill="1" applyBorder="1"/>
    <xf numFmtId="165" fontId="4" fillId="0" borderId="1" xfId="0" applyNumberFormat="1" applyFont="1" applyBorder="1"/>
    <xf numFmtId="165" fontId="4" fillId="9" borderId="15" xfId="4" applyFont="1" applyFill="1" applyBorder="1"/>
    <xf numFmtId="0" fontId="1" fillId="0" borderId="0" xfId="0" applyFont="1" applyAlignment="1">
      <alignment horizontal="center"/>
    </xf>
    <xf numFmtId="165" fontId="1" fillId="22" borderId="15" xfId="4" applyFont="1" applyFill="1" applyBorder="1"/>
    <xf numFmtId="165" fontId="1" fillId="0" borderId="1" xfId="4" applyFont="1" applyFill="1" applyBorder="1"/>
    <xf numFmtId="10" fontId="1" fillId="0" borderId="0" xfId="2" applyNumberFormat="1" applyFont="1" applyFill="1"/>
    <xf numFmtId="10" fontId="12" fillId="0" borderId="1" xfId="2" applyNumberFormat="1" applyFont="1" applyBorder="1"/>
    <xf numFmtId="14" fontId="7" fillId="9" borderId="0" xfId="4" applyNumberFormat="1" applyFont="1" applyFill="1" applyBorder="1"/>
    <xf numFmtId="14" fontId="7" fillId="9" borderId="0" xfId="2" applyNumberFormat="1" applyFont="1" applyFill="1" applyBorder="1"/>
    <xf numFmtId="168" fontId="9" fillId="0" borderId="0" xfId="4" applyNumberFormat="1" applyFont="1" applyBorder="1"/>
    <xf numFmtId="168" fontId="9" fillId="0" borderId="0" xfId="4" applyNumberFormat="1" applyFont="1" applyFill="1" applyBorder="1"/>
    <xf numFmtId="9" fontId="16" fillId="16" borderId="11" xfId="2" applyFont="1" applyFill="1" applyBorder="1" applyAlignment="1">
      <alignment horizontal="center"/>
    </xf>
    <xf numFmtId="0" fontId="21" fillId="0" borderId="0" xfId="0" applyFont="1"/>
    <xf numFmtId="165" fontId="1" fillId="0" borderId="0" xfId="4" applyFont="1" applyFill="1"/>
    <xf numFmtId="165" fontId="3" fillId="0" borderId="0" xfId="4" applyFont="1" applyFill="1"/>
    <xf numFmtId="4" fontId="12" fillId="0" borderId="6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46" fillId="24" borderId="1" xfId="0" applyFont="1" applyFill="1" applyBorder="1"/>
    <xf numFmtId="190" fontId="46" fillId="24" borderId="1" xfId="0" applyNumberFormat="1" applyFont="1" applyFill="1" applyBorder="1"/>
    <xf numFmtId="190" fontId="46" fillId="24" borderId="1" xfId="1" applyNumberFormat="1" applyFont="1" applyFill="1" applyBorder="1"/>
    <xf numFmtId="168" fontId="46" fillId="24" borderId="1" xfId="4" applyNumberFormat="1" applyFont="1" applyFill="1" applyBorder="1"/>
    <xf numFmtId="0" fontId="11" fillId="9" borderId="0" xfId="0" applyFont="1" applyFill="1" applyAlignment="1">
      <alignment horizontal="center"/>
    </xf>
    <xf numFmtId="165" fontId="1" fillId="9" borderId="1" xfId="4" applyFont="1" applyFill="1" applyBorder="1"/>
    <xf numFmtId="165" fontId="17" fillId="8" borderId="0" xfId="4" applyFont="1" applyFill="1"/>
    <xf numFmtId="0" fontId="54" fillId="0" borderId="0" xfId="0" applyFont="1"/>
    <xf numFmtId="168" fontId="28" fillId="0" borderId="11" xfId="4" applyNumberFormat="1" applyFont="1" applyBorder="1"/>
    <xf numFmtId="165" fontId="11" fillId="9" borderId="1" xfId="4" applyFont="1" applyFill="1" applyBorder="1"/>
    <xf numFmtId="9" fontId="51" fillId="11" borderId="9" xfId="2" applyFont="1" applyFill="1" applyBorder="1"/>
    <xf numFmtId="0" fontId="1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0" fontId="4" fillId="9" borderId="0" xfId="0" applyFont="1" applyFill="1" applyAlignment="1">
      <alignment horizontal="center"/>
    </xf>
    <xf numFmtId="184" fontId="11" fillId="9" borderId="1" xfId="0" applyNumberFormat="1" applyFont="1" applyFill="1" applyBorder="1"/>
    <xf numFmtId="165" fontId="4" fillId="0" borderId="1" xfId="4" applyFont="1" applyFill="1" applyBorder="1"/>
    <xf numFmtId="0" fontId="0" fillId="0" borderId="1" xfId="0" applyBorder="1"/>
    <xf numFmtId="0" fontId="10" fillId="0" borderId="8" xfId="0" applyFont="1" applyBorder="1" applyAlignment="1">
      <alignment horizontal="right"/>
    </xf>
    <xf numFmtId="4" fontId="12" fillId="0" borderId="0" xfId="0" applyNumberFormat="1" applyFont="1"/>
    <xf numFmtId="4" fontId="20" fillId="10" borderId="11" xfId="0" applyNumberFormat="1" applyFont="1" applyFill="1" applyBorder="1" applyAlignment="1">
      <alignment horizontal="center"/>
    </xf>
    <xf numFmtId="0" fontId="20" fillId="9" borderId="7" xfId="0" applyFont="1" applyFill="1" applyBorder="1" applyAlignment="1">
      <alignment horizontal="center"/>
    </xf>
    <xf numFmtId="0" fontId="24" fillId="8" borderId="6" xfId="0" applyFont="1" applyFill="1" applyBorder="1" applyAlignment="1">
      <alignment horizontal="center"/>
    </xf>
    <xf numFmtId="0" fontId="20" fillId="9" borderId="6" xfId="0" applyFont="1" applyFill="1" applyBorder="1" applyAlignment="1">
      <alignment horizontal="center"/>
    </xf>
    <xf numFmtId="0" fontId="20" fillId="9" borderId="14" xfId="0" applyFont="1" applyFill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168" fontId="3" fillId="2" borderId="13" xfId="4" applyNumberFormat="1" applyFont="1" applyFill="1" applyBorder="1"/>
    <xf numFmtId="168" fontId="3" fillId="2" borderId="13" xfId="4" applyNumberFormat="1" applyFont="1" applyFill="1" applyBorder="1" applyAlignment="1">
      <alignment horizontal="right"/>
    </xf>
    <xf numFmtId="168" fontId="4" fillId="8" borderId="7" xfId="0" applyNumberFormat="1" applyFont="1" applyFill="1" applyBorder="1"/>
    <xf numFmtId="168" fontId="3" fillId="2" borderId="13" xfId="0" applyNumberFormat="1" applyFont="1" applyFill="1" applyBorder="1"/>
    <xf numFmtId="168" fontId="4" fillId="7" borderId="10" xfId="0" applyNumberFormat="1" applyFont="1" applyFill="1" applyBorder="1"/>
    <xf numFmtId="192" fontId="3" fillId="0" borderId="12" xfId="2" applyNumberFormat="1" applyFont="1" applyBorder="1"/>
    <xf numFmtId="192" fontId="3" fillId="0" borderId="8" xfId="0" applyNumberFormat="1" applyFont="1" applyBorder="1"/>
    <xf numFmtId="192" fontId="3" fillId="0" borderId="8" xfId="1" applyNumberFormat="1" applyFont="1" applyBorder="1"/>
    <xf numFmtId="192" fontId="3" fillId="8" borderId="8" xfId="0" applyNumberFormat="1" applyFont="1" applyFill="1" applyBorder="1"/>
    <xf numFmtId="171" fontId="3" fillId="0" borderId="8" xfId="0" applyNumberFormat="1" applyFont="1" applyBorder="1"/>
    <xf numFmtId="173" fontId="3" fillId="0" borderId="8" xfId="0" applyNumberFormat="1" applyFont="1" applyBorder="1"/>
    <xf numFmtId="192" fontId="4" fillId="7" borderId="11" xfId="0" applyNumberFormat="1" applyFont="1" applyFill="1" applyBorder="1"/>
    <xf numFmtId="0" fontId="55" fillId="0" borderId="0" xfId="0" applyFont="1"/>
    <xf numFmtId="0" fontId="0" fillId="0" borderId="1" xfId="0" applyBorder="1" applyAlignment="1">
      <alignment horizontal="center"/>
    </xf>
    <xf numFmtId="169" fontId="0" fillId="0" borderId="1" xfId="4" applyNumberFormat="1" applyFont="1" applyBorder="1"/>
    <xf numFmtId="0" fontId="56" fillId="0" borderId="0" xfId="0" applyFont="1"/>
    <xf numFmtId="0" fontId="56" fillId="0" borderId="0" xfId="0" applyFont="1" applyAlignment="1">
      <alignment horizontal="center"/>
    </xf>
    <xf numFmtId="171" fontId="1" fillId="0" borderId="0" xfId="0" applyNumberFormat="1" applyFont="1" applyAlignment="1">
      <alignment horizontal="center"/>
    </xf>
    <xf numFmtId="0" fontId="4" fillId="10" borderId="1" xfId="0" applyFont="1" applyFill="1" applyBorder="1" applyAlignment="1">
      <alignment horizontal="center"/>
    </xf>
    <xf numFmtId="4" fontId="43" fillId="13" borderId="7" xfId="0" applyNumberFormat="1" applyFont="1" applyFill="1" applyBorder="1"/>
    <xf numFmtId="4" fontId="45" fillId="14" borderId="7" xfId="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center"/>
    </xf>
    <xf numFmtId="0" fontId="9" fillId="0" borderId="1" xfId="0" applyFont="1" applyBorder="1"/>
    <xf numFmtId="169" fontId="10" fillId="0" borderId="1" xfId="4" applyNumberFormat="1" applyFont="1" applyBorder="1" applyAlignment="1"/>
    <xf numFmtId="169" fontId="10" fillId="0" borderId="11" xfId="4" applyNumberFormat="1" applyFont="1" applyBorder="1" applyAlignment="1"/>
    <xf numFmtId="169" fontId="12" fillId="11" borderId="11" xfId="4" applyNumberFormat="1" applyFont="1" applyFill="1" applyBorder="1" applyAlignment="1"/>
    <xf numFmtId="0" fontId="12" fillId="11" borderId="11" xfId="0" applyFont="1" applyFill="1" applyBorder="1"/>
    <xf numFmtId="0" fontId="46" fillId="9" borderId="0" xfId="0" applyFont="1" applyFill="1"/>
    <xf numFmtId="190" fontId="46" fillId="9" borderId="0" xfId="1" applyNumberFormat="1" applyFont="1" applyFill="1" applyBorder="1"/>
    <xf numFmtId="168" fontId="5" fillId="0" borderId="0" xfId="0" applyNumberFormat="1" applyFont="1"/>
    <xf numFmtId="0" fontId="5" fillId="0" borderId="0" xfId="0" applyFont="1"/>
    <xf numFmtId="173" fontId="5" fillId="0" borderId="0" xfId="0" applyNumberFormat="1" applyFont="1"/>
    <xf numFmtId="169" fontId="5" fillId="0" borderId="0" xfId="0" applyNumberFormat="1" applyFont="1"/>
    <xf numFmtId="168" fontId="35" fillId="0" borderId="0" xfId="0" applyNumberFormat="1" applyFont="1"/>
    <xf numFmtId="171" fontId="35" fillId="0" borderId="0" xfId="0" applyNumberFormat="1" applyFont="1"/>
    <xf numFmtId="173" fontId="35" fillId="0" borderId="0" xfId="0" applyNumberFormat="1" applyFont="1"/>
    <xf numFmtId="43" fontId="17" fillId="9" borderId="0" xfId="0" applyNumberFormat="1" applyFont="1" applyFill="1" applyAlignment="1">
      <alignment horizontal="justify"/>
    </xf>
    <xf numFmtId="10" fontId="17" fillId="9" borderId="0" xfId="2" applyNumberFormat="1" applyFont="1" applyFill="1" applyBorder="1" applyAlignment="1">
      <alignment horizontal="justify"/>
    </xf>
    <xf numFmtId="165" fontId="1" fillId="9" borderId="1" xfId="0" applyNumberFormat="1" applyFont="1" applyFill="1" applyBorder="1"/>
    <xf numFmtId="165" fontId="4" fillId="9" borderId="15" xfId="4" applyFont="1" applyFill="1" applyBorder="1" applyAlignment="1">
      <alignment horizontal="center"/>
    </xf>
    <xf numFmtId="165" fontId="10" fillId="9" borderId="15" xfId="4" applyFont="1" applyFill="1" applyBorder="1" applyAlignment="1">
      <alignment horizontal="center"/>
    </xf>
    <xf numFmtId="165" fontId="1" fillId="9" borderId="15" xfId="4" applyFont="1" applyFill="1" applyBorder="1" applyAlignment="1">
      <alignment horizontal="center"/>
    </xf>
    <xf numFmtId="193" fontId="1" fillId="0" borderId="0" xfId="0" applyNumberFormat="1" applyFont="1"/>
    <xf numFmtId="165" fontId="3" fillId="0" borderId="0" xfId="4" applyFont="1" applyBorder="1"/>
    <xf numFmtId="2" fontId="3" fillId="0" borderId="0" xfId="2" applyNumberFormat="1" applyFont="1" applyBorder="1"/>
    <xf numFmtId="3" fontId="41" fillId="11" borderId="5" xfId="0" applyNumberFormat="1" applyFont="1" applyFill="1" applyBorder="1"/>
    <xf numFmtId="9" fontId="11" fillId="8" borderId="1" xfId="2" applyFont="1" applyFill="1" applyBorder="1"/>
    <xf numFmtId="0" fontId="10" fillId="8" borderId="1" xfId="0" applyFont="1" applyFill="1" applyBorder="1"/>
    <xf numFmtId="9" fontId="11" fillId="0" borderId="8" xfId="2" applyFont="1" applyBorder="1" applyAlignment="1">
      <alignment horizontal="center"/>
    </xf>
    <xf numFmtId="0" fontId="10" fillId="8" borderId="1" xfId="0" applyFont="1" applyFill="1" applyBorder="1" applyAlignment="1">
      <alignment horizontal="right"/>
    </xf>
    <xf numFmtId="43" fontId="52" fillId="20" borderId="23" xfId="0" applyNumberFormat="1" applyFont="1" applyFill="1" applyBorder="1"/>
    <xf numFmtId="9" fontId="10" fillId="8" borderId="1" xfId="2" applyFont="1" applyFill="1" applyBorder="1"/>
    <xf numFmtId="3" fontId="10" fillId="8" borderId="1" xfId="0" applyNumberFormat="1" applyFont="1" applyFill="1" applyBorder="1"/>
    <xf numFmtId="168" fontId="3" fillId="0" borderId="0" xfId="0" applyNumberFormat="1" applyFont="1" applyAlignment="1">
      <alignment horizontal="right"/>
    </xf>
    <xf numFmtId="170" fontId="1" fillId="0" borderId="0" xfId="0" applyNumberFormat="1" applyFont="1"/>
    <xf numFmtId="168" fontId="3" fillId="0" borderId="0" xfId="4" applyNumberFormat="1" applyFont="1" applyBorder="1"/>
    <xf numFmtId="173" fontId="11" fillId="0" borderId="0" xfId="0" applyNumberFormat="1" applyFont="1"/>
    <xf numFmtId="0" fontId="7" fillId="0" borderId="0" xfId="0" applyFont="1" applyAlignment="1">
      <alignment horizontal="center" vertical="center"/>
    </xf>
    <xf numFmtId="181" fontId="21" fillId="5" borderId="0" xfId="0" applyNumberFormat="1" applyFont="1" applyFill="1" applyAlignment="1">
      <alignment horizontal="center"/>
    </xf>
    <xf numFmtId="168" fontId="21" fillId="0" borderId="0" xfId="4" applyNumberFormat="1" applyFont="1" applyBorder="1"/>
    <xf numFmtId="168" fontId="21" fillId="0" borderId="0" xfId="0" applyNumberFormat="1" applyFont="1"/>
    <xf numFmtId="43" fontId="14" fillId="0" borderId="0" xfId="0" applyNumberFormat="1" applyFont="1"/>
    <xf numFmtId="3" fontId="0" fillId="0" borderId="1" xfId="0" applyNumberFormat="1" applyBorder="1"/>
    <xf numFmtId="169" fontId="17" fillId="8" borderId="12" xfId="4" applyNumberFormat="1" applyFont="1" applyFill="1" applyBorder="1" applyAlignment="1">
      <alignment horizontal="center"/>
    </xf>
    <xf numFmtId="169" fontId="17" fillId="8" borderId="8" xfId="4" applyNumberFormat="1" applyFont="1" applyFill="1" applyBorder="1" applyAlignment="1">
      <alignment horizontal="center"/>
    </xf>
    <xf numFmtId="169" fontId="17" fillId="8" borderId="8" xfId="4" applyNumberFormat="1" applyFont="1" applyFill="1" applyBorder="1"/>
    <xf numFmtId="169" fontId="17" fillId="8" borderId="11" xfId="4" applyNumberFormat="1" applyFont="1" applyFill="1" applyBorder="1" applyAlignment="1">
      <alignment horizontal="center"/>
    </xf>
    <xf numFmtId="169" fontId="16" fillId="16" borderId="11" xfId="2" applyNumberFormat="1" applyFont="1" applyFill="1" applyBorder="1" applyAlignment="1">
      <alignment horizontal="center"/>
    </xf>
    <xf numFmtId="9" fontId="10" fillId="8" borderId="5" xfId="2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168" fontId="4" fillId="0" borderId="1" xfId="0" applyNumberFormat="1" applyFont="1" applyBorder="1"/>
    <xf numFmtId="165" fontId="4" fillId="9" borderId="22" xfId="4" applyFont="1" applyFill="1" applyBorder="1"/>
    <xf numFmtId="0" fontId="10" fillId="9" borderId="0" xfId="0" applyFont="1" applyFill="1"/>
    <xf numFmtId="0" fontId="3" fillId="9" borderId="0" xfId="0" applyFont="1" applyFill="1"/>
    <xf numFmtId="9" fontId="10" fillId="9" borderId="14" xfId="2" applyFont="1" applyFill="1" applyBorder="1" applyAlignment="1">
      <alignment horizontal="right" vertical="center"/>
    </xf>
    <xf numFmtId="0" fontId="10" fillId="9" borderId="8" xfId="0" applyFont="1" applyFill="1" applyBorder="1" applyAlignment="1">
      <alignment horizontal="right" vertical="center"/>
    </xf>
    <xf numFmtId="0" fontId="4" fillId="13" borderId="11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192" fontId="1" fillId="0" borderId="12" xfId="2" applyNumberFormat="1" applyFont="1" applyBorder="1"/>
    <xf numFmtId="192" fontId="1" fillId="0" borderId="8" xfId="0" applyNumberFormat="1" applyFont="1" applyBorder="1"/>
    <xf numFmtId="192" fontId="1" fillId="0" borderId="8" xfId="1" applyNumberFormat="1" applyFont="1" applyBorder="1"/>
    <xf numFmtId="168" fontId="1" fillId="0" borderId="8" xfId="0" applyNumberFormat="1" applyFont="1" applyBorder="1"/>
    <xf numFmtId="192" fontId="1" fillId="8" borderId="8" xfId="0" applyNumberFormat="1" applyFont="1" applyFill="1" applyBorder="1"/>
    <xf numFmtId="171" fontId="1" fillId="0" borderId="8" xfId="0" applyNumberFormat="1" applyFont="1" applyBorder="1"/>
    <xf numFmtId="173" fontId="1" fillId="0" borderId="8" xfId="0" applyNumberFormat="1" applyFont="1" applyBorder="1"/>
    <xf numFmtId="194" fontId="1" fillId="0" borderId="8" xfId="0" applyNumberFormat="1" applyFont="1" applyBorder="1"/>
    <xf numFmtId="165" fontId="51" fillId="9" borderId="0" xfId="4" applyFont="1" applyFill="1" applyBorder="1" applyAlignment="1">
      <alignment horizontal="right"/>
    </xf>
    <xf numFmtId="9" fontId="11" fillId="8" borderId="1" xfId="2" applyFont="1" applyFill="1" applyBorder="1" applyAlignment="1">
      <alignment horizontal="right"/>
    </xf>
    <xf numFmtId="43" fontId="58" fillId="9" borderId="0" xfId="5" applyNumberFormat="1" applyFill="1"/>
    <xf numFmtId="0" fontId="20" fillId="9" borderId="1" xfId="6" applyFont="1" applyFill="1" applyBorder="1"/>
    <xf numFmtId="14" fontId="20" fillId="9" borderId="1" xfId="6" applyNumberFormat="1" applyFont="1" applyFill="1" applyBorder="1"/>
    <xf numFmtId="43" fontId="20" fillId="9" borderId="1" xfId="6" applyNumberFormat="1" applyFont="1" applyFill="1" applyBorder="1"/>
    <xf numFmtId="4" fontId="20" fillId="9" borderId="1" xfId="6" applyNumberFormat="1" applyFont="1" applyFill="1" applyBorder="1"/>
    <xf numFmtId="0" fontId="20" fillId="9" borderId="1" xfId="6" applyFont="1" applyFill="1" applyBorder="1" applyAlignment="1">
      <alignment horizontal="center"/>
    </xf>
    <xf numFmtId="0" fontId="20" fillId="9" borderId="1" xfId="5" applyFont="1" applyFill="1" applyBorder="1"/>
    <xf numFmtId="14" fontId="20" fillId="9" borderId="1" xfId="5" applyNumberFormat="1" applyFont="1" applyFill="1" applyBorder="1"/>
    <xf numFmtId="0" fontId="20" fillId="9" borderId="1" xfId="5" applyFont="1" applyFill="1" applyBorder="1" applyAlignment="1">
      <alignment horizontal="center"/>
    </xf>
    <xf numFmtId="0" fontId="58" fillId="9" borderId="1" xfId="5" applyFill="1" applyBorder="1"/>
    <xf numFmtId="0" fontId="58" fillId="9" borderId="1" xfId="5" applyFill="1" applyBorder="1" applyAlignment="1">
      <alignment horizontal="center"/>
    </xf>
    <xf numFmtId="43" fontId="20" fillId="9" borderId="1" xfId="5" applyNumberFormat="1" applyFont="1" applyFill="1" applyBorder="1" applyAlignment="1">
      <alignment horizontal="center"/>
    </xf>
    <xf numFmtId="4" fontId="59" fillId="0" borderId="1" xfId="5" applyNumberFormat="1" applyFont="1" applyBorder="1"/>
    <xf numFmtId="0" fontId="58" fillId="0" borderId="1" xfId="5" applyBorder="1" applyAlignment="1">
      <alignment horizontal="center"/>
    </xf>
    <xf numFmtId="0" fontId="58" fillId="0" borderId="0" xfId="5"/>
    <xf numFmtId="0" fontId="59" fillId="0" borderId="0" xfId="5" applyFont="1" applyAlignment="1">
      <alignment horizontal="center"/>
    </xf>
    <xf numFmtId="0" fontId="59" fillId="13" borderId="0" xfId="5" applyFont="1" applyFill="1"/>
    <xf numFmtId="165" fontId="58" fillId="13" borderId="0" xfId="4" applyFont="1" applyFill="1"/>
    <xf numFmtId="10" fontId="59" fillId="13" borderId="0" xfId="2" applyNumberFormat="1" applyFont="1" applyFill="1"/>
    <xf numFmtId="0" fontId="59" fillId="0" borderId="0" xfId="5" applyFont="1"/>
    <xf numFmtId="10" fontId="59" fillId="0" borderId="0" xfId="2" applyNumberFormat="1" applyFont="1"/>
    <xf numFmtId="0" fontId="59" fillId="26" borderId="0" xfId="5" applyFont="1" applyFill="1"/>
    <xf numFmtId="43" fontId="58" fillId="26" borderId="0" xfId="5" applyNumberFormat="1" applyFill="1"/>
    <xf numFmtId="10" fontId="59" fillId="26" borderId="0" xfId="2" applyNumberFormat="1" applyFont="1" applyFill="1"/>
    <xf numFmtId="0" fontId="59" fillId="28" borderId="0" xfId="5" applyFont="1" applyFill="1"/>
    <xf numFmtId="43" fontId="58" fillId="28" borderId="0" xfId="5" applyNumberFormat="1" applyFill="1"/>
    <xf numFmtId="10" fontId="59" fillId="28" borderId="0" xfId="2" applyNumberFormat="1" applyFont="1" applyFill="1"/>
    <xf numFmtId="0" fontId="59" fillId="11" borderId="0" xfId="5" applyFont="1" applyFill="1"/>
    <xf numFmtId="165" fontId="58" fillId="11" borderId="0" xfId="4" applyFont="1" applyFill="1"/>
    <xf numFmtId="10" fontId="59" fillId="11" borderId="0" xfId="2" applyNumberFormat="1" applyFont="1" applyFill="1"/>
    <xf numFmtId="0" fontId="59" fillId="29" borderId="0" xfId="5" applyFont="1" applyFill="1"/>
    <xf numFmtId="43" fontId="58" fillId="29" borderId="0" xfId="5" applyNumberFormat="1" applyFill="1"/>
    <xf numFmtId="10" fontId="59" fillId="29" borderId="0" xfId="2" applyNumberFormat="1" applyFont="1" applyFill="1"/>
    <xf numFmtId="0" fontId="59" fillId="30" borderId="0" xfId="5" applyFont="1" applyFill="1"/>
    <xf numFmtId="165" fontId="58" fillId="30" borderId="0" xfId="4" applyFont="1" applyFill="1"/>
    <xf numFmtId="10" fontId="59" fillId="30" borderId="0" xfId="2" applyNumberFormat="1" applyFont="1" applyFill="1"/>
    <xf numFmtId="0" fontId="59" fillId="27" borderId="0" xfId="5" applyFont="1" applyFill="1"/>
    <xf numFmtId="165" fontId="58" fillId="27" borderId="0" xfId="4" applyFont="1" applyFill="1"/>
    <xf numFmtId="10" fontId="59" fillId="27" borderId="0" xfId="2" applyNumberFormat="1" applyFont="1" applyFill="1"/>
    <xf numFmtId="43" fontId="59" fillId="0" borderId="0" xfId="5" applyNumberFormat="1" applyFont="1"/>
    <xf numFmtId="169" fontId="14" fillId="0" borderId="0" xfId="0" applyNumberFormat="1" applyFont="1"/>
    <xf numFmtId="192" fontId="3" fillId="8" borderId="11" xfId="0" applyNumberFormat="1" applyFont="1" applyFill="1" applyBorder="1"/>
    <xf numFmtId="168" fontId="1" fillId="30" borderId="0" xfId="4" applyNumberFormat="1" applyFont="1" applyFill="1"/>
    <xf numFmtId="171" fontId="23" fillId="9" borderId="0" xfId="0" applyNumberFormat="1" applyFont="1" applyFill="1" applyAlignment="1">
      <alignment horizontal="center"/>
    </xf>
    <xf numFmtId="0" fontId="58" fillId="9" borderId="0" xfId="5" applyFill="1" applyAlignment="1">
      <alignment horizontal="center"/>
    </xf>
    <xf numFmtId="4" fontId="59" fillId="0" borderId="0" xfId="5" applyNumberFormat="1" applyFont="1"/>
    <xf numFmtId="0" fontId="58" fillId="0" borderId="0" xfId="5" applyAlignment="1">
      <alignment horizontal="center"/>
    </xf>
    <xf numFmtId="165" fontId="3" fillId="0" borderId="8" xfId="0" applyNumberFormat="1" applyFont="1" applyBorder="1"/>
    <xf numFmtId="16" fontId="20" fillId="9" borderId="1" xfId="5" applyNumberFormat="1" applyFont="1" applyFill="1" applyBorder="1"/>
    <xf numFmtId="169" fontId="41" fillId="0" borderId="14" xfId="4" applyNumberFormat="1" applyFont="1" applyBorder="1"/>
    <xf numFmtId="9" fontId="3" fillId="0" borderId="0" xfId="2" applyFont="1"/>
    <xf numFmtId="10" fontId="3" fillId="0" borderId="0" xfId="2" applyNumberFormat="1" applyFont="1"/>
    <xf numFmtId="0" fontId="4" fillId="13" borderId="1" xfId="0" applyFont="1" applyFill="1" applyBorder="1" applyAlignment="1">
      <alignment horizontal="center"/>
    </xf>
    <xf numFmtId="0" fontId="0" fillId="9" borderId="0" xfId="0" applyFill="1"/>
    <xf numFmtId="0" fontId="20" fillId="9" borderId="3" xfId="0" applyFont="1" applyFill="1" applyBorder="1" applyAlignment="1">
      <alignment horizontal="center"/>
    </xf>
    <xf numFmtId="0" fontId="20" fillId="0" borderId="6" xfId="0" applyFont="1" applyBorder="1"/>
    <xf numFmtId="0" fontId="24" fillId="9" borderId="6" xfId="0" applyFont="1" applyFill="1" applyBorder="1" applyAlignment="1">
      <alignment horizontal="center"/>
    </xf>
    <xf numFmtId="9" fontId="11" fillId="9" borderId="8" xfId="2" applyFont="1" applyFill="1" applyBorder="1"/>
    <xf numFmtId="0" fontId="10" fillId="9" borderId="8" xfId="0" applyFont="1" applyFill="1" applyBorder="1"/>
    <xf numFmtId="0" fontId="4" fillId="13" borderId="23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169" fontId="0" fillId="0" borderId="7" xfId="4" applyNumberFormat="1" applyFont="1" applyBorder="1"/>
    <xf numFmtId="0" fontId="47" fillId="0" borderId="7" xfId="0" applyFont="1" applyBorder="1" applyAlignment="1">
      <alignment horizontal="center"/>
    </xf>
    <xf numFmtId="0" fontId="47" fillId="0" borderId="6" xfId="0" applyFont="1" applyBorder="1" applyAlignment="1">
      <alignment horizontal="center"/>
    </xf>
    <xf numFmtId="0" fontId="60" fillId="0" borderId="0" xfId="0" applyFont="1" applyAlignment="1">
      <alignment horizontal="center"/>
    </xf>
    <xf numFmtId="0" fontId="46" fillId="10" borderId="0" xfId="0" applyFont="1" applyFill="1" applyAlignment="1">
      <alignment horizontal="center"/>
    </xf>
    <xf numFmtId="0" fontId="47" fillId="0" borderId="3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1" fillId="14" borderId="0" xfId="0" applyFont="1" applyFill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8" fontId="61" fillId="0" borderId="0" xfId="4" applyNumberFormat="1" applyFont="1" applyFill="1" applyBorder="1" applyAlignment="1"/>
    <xf numFmtId="0" fontId="11" fillId="7" borderId="0" xfId="0" applyFont="1" applyFill="1" applyAlignment="1">
      <alignment horizontal="center"/>
    </xf>
    <xf numFmtId="0" fontId="21" fillId="0" borderId="13" xfId="0" applyFont="1" applyBorder="1" applyAlignment="1">
      <alignment horizontal="center"/>
    </xf>
    <xf numFmtId="0" fontId="4" fillId="25" borderId="13" xfId="0" applyFont="1" applyFill="1" applyBorder="1" applyAlignment="1">
      <alignment horizontal="center"/>
    </xf>
    <xf numFmtId="0" fontId="4" fillId="25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15" borderId="12" xfId="0" applyFont="1" applyFill="1" applyBorder="1" applyAlignment="1">
      <alignment horizontal="center" vertical="center"/>
    </xf>
    <xf numFmtId="0" fontId="7" fillId="15" borderId="11" xfId="0" applyFont="1" applyFill="1" applyBorder="1" applyAlignment="1">
      <alignment horizontal="center" vertical="center"/>
    </xf>
    <xf numFmtId="168" fontId="40" fillId="0" borderId="7" xfId="4" applyNumberFormat="1" applyFont="1" applyBorder="1" applyAlignment="1">
      <alignment horizontal="center"/>
    </xf>
    <xf numFmtId="168" fontId="40" fillId="0" borderId="6" xfId="4" applyNumberFormat="1" applyFont="1" applyBorder="1" applyAlignment="1">
      <alignment horizontal="center"/>
    </xf>
    <xf numFmtId="0" fontId="46" fillId="11" borderId="27" xfId="0" applyFont="1" applyFill="1" applyBorder="1" applyAlignment="1">
      <alignment horizontal="center"/>
    </xf>
    <xf numFmtId="0" fontId="46" fillId="11" borderId="28" xfId="0" applyFont="1" applyFill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5" fillId="7" borderId="29" xfId="0" applyFont="1" applyFill="1" applyBorder="1" applyAlignment="1">
      <alignment horizontal="center"/>
    </xf>
    <xf numFmtId="0" fontId="45" fillId="7" borderId="30" xfId="0" applyFont="1" applyFill="1" applyBorder="1" applyAlignment="1">
      <alignment horizontal="center"/>
    </xf>
    <xf numFmtId="0" fontId="45" fillId="7" borderId="31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62" fillId="11" borderId="29" xfId="0" applyFont="1" applyFill="1" applyBorder="1" applyAlignment="1">
      <alignment horizontal="center"/>
    </xf>
    <xf numFmtId="0" fontId="62" fillId="11" borderId="3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6" fillId="11" borderId="1" xfId="0" applyFont="1" applyFill="1" applyBorder="1" applyAlignment="1">
      <alignment horizontal="center"/>
    </xf>
    <xf numFmtId="10" fontId="7" fillId="8" borderId="10" xfId="2" applyNumberFormat="1" applyFont="1" applyFill="1" applyBorder="1" applyAlignment="1">
      <alignment horizontal="center"/>
    </xf>
    <xf numFmtId="10" fontId="7" fillId="8" borderId="18" xfId="2" applyNumberFormat="1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58" fillId="9" borderId="1" xfId="5" applyFill="1" applyBorder="1" applyAlignment="1">
      <alignment horizontal="center"/>
    </xf>
    <xf numFmtId="165" fontId="40" fillId="0" borderId="0" xfId="4" applyFont="1" applyBorder="1" applyAlignment="1">
      <alignment horizontal="center"/>
    </xf>
    <xf numFmtId="165" fontId="40" fillId="0" borderId="7" xfId="4" applyFont="1" applyBorder="1" applyAlignment="1">
      <alignment horizontal="center"/>
    </xf>
    <xf numFmtId="165" fontId="40" fillId="0" borderId="6" xfId="4" applyFont="1" applyBorder="1" applyAlignment="1">
      <alignment horizontal="center"/>
    </xf>
    <xf numFmtId="0" fontId="46" fillId="13" borderId="27" xfId="0" applyFont="1" applyFill="1" applyBorder="1" applyAlignment="1">
      <alignment horizontal="center"/>
    </xf>
    <xf numFmtId="0" fontId="46" fillId="13" borderId="28" xfId="0" applyFont="1" applyFill="1" applyBorder="1" applyAlignment="1">
      <alignment horizontal="center"/>
    </xf>
    <xf numFmtId="0" fontId="46" fillId="13" borderId="33" xfId="0" applyFont="1" applyFill="1" applyBorder="1" applyAlignment="1">
      <alignment horizontal="center"/>
    </xf>
    <xf numFmtId="0" fontId="46" fillId="13" borderId="34" xfId="0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45" fillId="0" borderId="7" xfId="4" applyFont="1" applyBorder="1" applyAlignment="1">
      <alignment horizontal="center"/>
    </xf>
    <xf numFmtId="165" fontId="45" fillId="0" borderId="6" xfId="4" applyFont="1" applyBorder="1" applyAlignment="1">
      <alignment horizontal="center"/>
    </xf>
    <xf numFmtId="43" fontId="7" fillId="13" borderId="1" xfId="0" applyNumberFormat="1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5" fillId="0" borderId="9" xfId="0" applyFont="1" applyBorder="1" applyAlignment="1">
      <alignment horizontal="center"/>
    </xf>
    <xf numFmtId="0" fontId="38" fillId="14" borderId="29" xfId="0" applyFont="1" applyFill="1" applyBorder="1" applyAlignment="1">
      <alignment horizontal="center"/>
    </xf>
    <xf numFmtId="0" fontId="38" fillId="14" borderId="30" xfId="0" applyFont="1" applyFill="1" applyBorder="1" applyAlignment="1">
      <alignment horizontal="center"/>
    </xf>
    <xf numFmtId="0" fontId="38" fillId="14" borderId="31" xfId="0" applyFont="1" applyFill="1" applyBorder="1" applyAlignment="1">
      <alignment horizontal="center"/>
    </xf>
    <xf numFmtId="0" fontId="7" fillId="0" borderId="36" xfId="0" applyFont="1" applyBorder="1" applyAlignment="1">
      <alignment horizontal="center"/>
    </xf>
    <xf numFmtId="183" fontId="11" fillId="8" borderId="27" xfId="1" applyNumberFormat="1" applyFont="1" applyFill="1" applyBorder="1" applyAlignment="1">
      <alignment horizontal="center"/>
    </xf>
    <xf numFmtId="183" fontId="11" fillId="8" borderId="28" xfId="1" applyNumberFormat="1" applyFont="1" applyFill="1" applyBorder="1" applyAlignment="1">
      <alignment horizontal="center"/>
    </xf>
    <xf numFmtId="0" fontId="38" fillId="14" borderId="1" xfId="0" applyFont="1" applyFill="1" applyBorder="1" applyAlignment="1">
      <alignment horizontal="center"/>
    </xf>
    <xf numFmtId="0" fontId="38" fillId="13" borderId="1" xfId="0" applyFont="1" applyFill="1" applyBorder="1" applyAlignment="1">
      <alignment horizontal="center"/>
    </xf>
    <xf numFmtId="10" fontId="0" fillId="0" borderId="7" xfId="2" applyNumberFormat="1" applyFont="1" applyBorder="1" applyAlignment="1">
      <alignment horizontal="center"/>
    </xf>
    <xf numFmtId="10" fontId="0" fillId="0" borderId="6" xfId="2" applyNumberFormat="1" applyFont="1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0" borderId="6" xfId="2" applyFont="1" applyBorder="1" applyAlignment="1">
      <alignment horizontal="center"/>
    </xf>
    <xf numFmtId="10" fontId="0" fillId="0" borderId="7" xfId="2" applyNumberFormat="1" applyFont="1" applyFill="1" applyBorder="1" applyAlignment="1">
      <alignment horizontal="center"/>
    </xf>
    <xf numFmtId="10" fontId="0" fillId="0" borderId="6" xfId="2" applyNumberFormat="1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4" fontId="43" fillId="0" borderId="0" xfId="0" applyNumberFormat="1" applyFont="1" applyAlignment="1">
      <alignment horizontal="center"/>
    </xf>
    <xf numFmtId="10" fontId="11" fillId="8" borderId="23" xfId="2" applyNumberFormat="1" applyFont="1" applyFill="1" applyBorder="1" applyAlignment="1">
      <alignment horizontal="center"/>
    </xf>
    <xf numFmtId="10" fontId="11" fillId="8" borderId="35" xfId="2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2" fillId="13" borderId="29" xfId="0" applyFont="1" applyFill="1" applyBorder="1" applyAlignment="1">
      <alignment horizontal="center"/>
    </xf>
    <xf numFmtId="0" fontId="62" fillId="13" borderId="30" xfId="0" applyFont="1" applyFill="1" applyBorder="1" applyAlignment="1">
      <alignment horizontal="center"/>
    </xf>
    <xf numFmtId="0" fontId="62" fillId="13" borderId="31" xfId="0" applyFont="1" applyFill="1" applyBorder="1" applyAlignment="1">
      <alignment horizontal="center"/>
    </xf>
    <xf numFmtId="0" fontId="54" fillId="0" borderId="0" xfId="0" applyFont="1" applyAlignment="1">
      <alignment horizontal="left"/>
    </xf>
    <xf numFmtId="0" fontId="24" fillId="10" borderId="7" xfId="0" applyFont="1" applyFill="1" applyBorder="1" applyAlignment="1">
      <alignment horizontal="center"/>
    </xf>
    <xf numFmtId="0" fontId="24" fillId="10" borderId="3" xfId="0" applyFont="1" applyFill="1" applyBorder="1" applyAlignment="1">
      <alignment horizontal="center"/>
    </xf>
    <xf numFmtId="0" fontId="24" fillId="10" borderId="6" xfId="0" applyFont="1" applyFill="1" applyBorder="1" applyAlignment="1">
      <alignment horizontal="center"/>
    </xf>
    <xf numFmtId="0" fontId="20" fillId="10" borderId="12" xfId="0" applyFont="1" applyFill="1" applyBorder="1" applyAlignment="1">
      <alignment horizontal="center" vertical="center"/>
    </xf>
    <xf numFmtId="0" fontId="20" fillId="10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4" fillId="9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59" fillId="31" borderId="4" xfId="5" applyFont="1" applyFill="1" applyBorder="1" applyAlignment="1">
      <alignment horizontal="center" vertical="center"/>
    </xf>
    <xf numFmtId="0" fontId="59" fillId="31" borderId="2" xfId="5" applyFont="1" applyFill="1" applyBorder="1" applyAlignment="1">
      <alignment horizontal="center" vertical="center"/>
    </xf>
    <xf numFmtId="0" fontId="59" fillId="31" borderId="5" xfId="5" applyFont="1" applyFill="1" applyBorder="1" applyAlignment="1">
      <alignment horizontal="center" vertical="center"/>
    </xf>
    <xf numFmtId="0" fontId="59" fillId="31" borderId="13" xfId="5" applyFont="1" applyFill="1" applyBorder="1" applyAlignment="1">
      <alignment horizontal="center" vertical="center"/>
    </xf>
    <xf numFmtId="0" fontId="59" fillId="31" borderId="0" xfId="5" applyFont="1" applyFill="1" applyAlignment="1">
      <alignment horizontal="center" vertical="center"/>
    </xf>
    <xf numFmtId="0" fontId="59" fillId="31" borderId="14" xfId="5" applyFont="1" applyFill="1" applyBorder="1" applyAlignment="1">
      <alignment horizontal="center" vertical="center"/>
    </xf>
    <xf numFmtId="0" fontId="59" fillId="31" borderId="10" xfId="5" applyFont="1" applyFill="1" applyBorder="1" applyAlignment="1">
      <alignment horizontal="center" vertical="center"/>
    </xf>
    <xf numFmtId="0" fontId="59" fillId="31" borderId="9" xfId="5" applyFont="1" applyFill="1" applyBorder="1" applyAlignment="1">
      <alignment horizontal="center" vertical="center"/>
    </xf>
    <xf numFmtId="0" fontId="59" fillId="31" borderId="18" xfId="5" applyFont="1" applyFill="1" applyBorder="1" applyAlignment="1">
      <alignment horizontal="center" vertical="center"/>
    </xf>
    <xf numFmtId="0" fontId="59" fillId="0" borderId="12" xfId="5" applyFont="1" applyBorder="1" applyAlignment="1">
      <alignment horizontal="center" vertical="center"/>
    </xf>
    <xf numFmtId="0" fontId="59" fillId="0" borderId="7" xfId="5" applyFont="1" applyBorder="1" applyAlignment="1">
      <alignment horizontal="center"/>
    </xf>
    <xf numFmtId="0" fontId="59" fillId="0" borderId="3" xfId="5" applyFont="1" applyBorder="1" applyAlignment="1">
      <alignment horizontal="center"/>
    </xf>
    <xf numFmtId="0" fontId="59" fillId="0" borderId="6" xfId="5" applyFont="1" applyBorder="1" applyAlignment="1">
      <alignment horizontal="center"/>
    </xf>
    <xf numFmtId="0" fontId="59" fillId="0" borderId="11" xfId="5" applyFont="1" applyBorder="1" applyAlignment="1">
      <alignment horizontal="center" vertical="center"/>
    </xf>
    <xf numFmtId="0" fontId="59" fillId="0" borderId="1" xfId="5" applyFont="1" applyBorder="1"/>
    <xf numFmtId="14" fontId="20" fillId="9" borderId="1" xfId="5" applyNumberFormat="1" applyFont="1" applyFill="1" applyBorder="1" applyAlignment="1">
      <alignment horizontal="right" vertical="center"/>
    </xf>
    <xf numFmtId="0" fontId="20" fillId="31" borderId="1" xfId="6" applyFont="1" applyFill="1" applyBorder="1"/>
    <xf numFmtId="14" fontId="20" fillId="31" borderId="1" xfId="5" applyNumberFormat="1" applyFont="1" applyFill="1" applyBorder="1" applyAlignment="1">
      <alignment horizontal="right" vertical="center"/>
    </xf>
    <xf numFmtId="0" fontId="58" fillId="31" borderId="1" xfId="5" applyFill="1" applyBorder="1"/>
    <xf numFmtId="43" fontId="20" fillId="31" borderId="1" xfId="6" applyNumberFormat="1" applyFont="1" applyFill="1" applyBorder="1"/>
    <xf numFmtId="4" fontId="20" fillId="31" borderId="1" xfId="6" applyNumberFormat="1" applyFont="1" applyFill="1" applyBorder="1"/>
    <xf numFmtId="0" fontId="58" fillId="31" borderId="1" xfId="5" applyFill="1" applyBorder="1" applyAlignment="1">
      <alignment horizontal="center"/>
    </xf>
    <xf numFmtId="14" fontId="20" fillId="31" borderId="1" xfId="5" applyNumberFormat="1" applyFont="1" applyFill="1" applyBorder="1"/>
    <xf numFmtId="0" fontId="20" fillId="31" borderId="1" xfId="5" applyFont="1" applyFill="1" applyBorder="1"/>
    <xf numFmtId="0" fontId="20" fillId="31" borderId="1" xfId="5" applyFont="1" applyFill="1" applyBorder="1" applyAlignment="1">
      <alignment horizontal="center"/>
    </xf>
    <xf numFmtId="0" fontId="0" fillId="31" borderId="0" xfId="0" applyFill="1"/>
    <xf numFmtId="4" fontId="58" fillId="0" borderId="0" xfId="5" applyNumberFormat="1"/>
    <xf numFmtId="0" fontId="0" fillId="0" borderId="1" xfId="0" applyFill="1" applyBorder="1" applyAlignment="1">
      <alignment horizontal="center"/>
    </xf>
    <xf numFmtId="0" fontId="47" fillId="9" borderId="0" xfId="0" applyFont="1" applyFill="1" applyBorder="1" applyAlignment="1">
      <alignment horizontal="center"/>
    </xf>
    <xf numFmtId="0" fontId="41" fillId="9" borderId="0" xfId="0" applyFont="1" applyFill="1" applyBorder="1" applyAlignment="1">
      <alignment horizontal="center"/>
    </xf>
    <xf numFmtId="168" fontId="46" fillId="9" borderId="0" xfId="4" applyNumberFormat="1" applyFont="1" applyFill="1" applyBorder="1"/>
    <xf numFmtId="0" fontId="46" fillId="9" borderId="0" xfId="0" applyFont="1" applyFill="1" applyBorder="1" applyAlignment="1">
      <alignment horizontal="right"/>
    </xf>
    <xf numFmtId="0" fontId="20" fillId="32" borderId="1" xfId="0" applyFont="1" applyFill="1" applyBorder="1" applyAlignment="1">
      <alignment horizontal="left"/>
    </xf>
  </cellXfs>
  <cellStyles count="7">
    <cellStyle name="Incorreto 2" xfId="6" xr:uid="{C4FAAB01-F626-449B-975F-93C549B8DA59}"/>
    <cellStyle name="Moeda" xfId="1" builtinId="4"/>
    <cellStyle name="Normal" xfId="0" builtinId="0"/>
    <cellStyle name="Normal 2" xfId="5" xr:uid="{2D859247-6639-4C81-8F9B-AE790EE5E063}"/>
    <cellStyle name="Porcentagem" xfId="2" builtinId="5"/>
    <cellStyle name="Texto Explicativo" xfId="3" builtinId="53"/>
    <cellStyle name="Vírgula" xfId="4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EVOLUÇÃO 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'cargas mensal'!$A$30</c:f>
              <c:strCache>
                <c:ptCount val="1"/>
              </c:strCache>
            </c:strRef>
          </c:tx>
          <c:invertIfNegative val="0"/>
          <c:dLbls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4-438F-9424-666E30DDC7E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DFDAD04-09A0-43E5-A87C-6DBC1731107E}" type="VALUE">
                      <a:rPr lang="en-US" sz="1200" b="1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A71-4773-A7C1-FA4747D0EF7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'cargas mensal'!$B$29:$T$29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'cargas mensal'!$B$30:$T$30</c:f>
              <c:numCache>
                <c:formatCode>_(* #,##0.000_);_(* \(#,##0.000\);_(* "-"_);_(@_)</c:formatCode>
                <c:ptCount val="18"/>
                <c:pt idx="0">
                  <c:v>833578.86199999996</c:v>
                </c:pt>
                <c:pt idx="1">
                  <c:v>527002.82999999996</c:v>
                </c:pt>
                <c:pt idx="2">
                  <c:v>664120.68999999994</c:v>
                </c:pt>
                <c:pt idx="3">
                  <c:v>669422.68599999999</c:v>
                </c:pt>
                <c:pt idx="4">
                  <c:v>878317.19700000004</c:v>
                </c:pt>
                <c:pt idx="5">
                  <c:v>655411.06900000002</c:v>
                </c:pt>
                <c:pt idx="6">
                  <c:v>730473.08100000001</c:v>
                </c:pt>
                <c:pt idx="7" formatCode="_(* #,##0.000_);_(* \(#,##0.000\);_(* &quot;-&quot;??_);_(@_)">
                  <c:v>720108.72499999998</c:v>
                </c:pt>
                <c:pt idx="8" formatCode="_(* #,##0.000_);_(* \(#,##0.000\);_(* &quot;-&quot;??_);_(@_)">
                  <c:v>606776.49399999995</c:v>
                </c:pt>
                <c:pt idx="9" formatCode="_(* #,##0.000_);_(* \(#,##0.000\);_(* &quot;-&quot;??_);_(@_)">
                  <c:v>542069.91399999999</c:v>
                </c:pt>
                <c:pt idx="10" formatCode="_(* #,##0.000_);_(* \(#,##0.000\);_(* &quot;-&quot;??_);_(@_)">
                  <c:v>718106.86</c:v>
                </c:pt>
                <c:pt idx="11" formatCode="_(* #,##0.000_);_(* \(#,##0.000\);_(* &quot;-&quot;??_);_(@_)">
                  <c:v>741749.44099999988</c:v>
                </c:pt>
                <c:pt idx="12" formatCode="_(* #,##0.000_);_(* \(#,##0.000\);_(* &quot;-&quot;??_);_(@_)">
                  <c:v>799481.70699999994</c:v>
                </c:pt>
                <c:pt idx="13" formatCode="_(* #,##0.000_);_(* \(#,##0.000\);_(* &quot;-&quot;??_);_(@_)">
                  <c:v>705379.55999999994</c:v>
                </c:pt>
                <c:pt idx="14" formatCode="_(* #,##0.000_);_(* \(#,##0.000\);_(* &quot;-&quot;??_);_(@_)">
                  <c:v>918879.75800000003</c:v>
                </c:pt>
                <c:pt idx="15" formatCode="_(* #,##0.000_);_(* \(#,##0.000\);_(* &quot;-&quot;??_);_(@_)">
                  <c:v>1033224.2860000001</c:v>
                </c:pt>
                <c:pt idx="16" formatCode="_(* #,##0.000_);_(* \(#,##0.000\);_(* &quot;-&quot;??_);_(@_)">
                  <c:v>1527130.5079999999</c:v>
                </c:pt>
                <c:pt idx="17" formatCode="_(* #,##0.000_);_(* \(#,##0.000\);_(* &quot;-&quot;??_);_(@_)">
                  <c:v>1442283.4770000002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4-438F-9424-666E30DDC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1039551"/>
        <c:axId val="1"/>
      </c:barChart>
      <c:catAx>
        <c:axId val="154103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_(* #,##0.000_);_(* \(#,##0.000\);_(* &quot;-&quot;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541039551"/>
        <c:crosses val="autoZero"/>
        <c:crossBetween val="between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médias móveis mensais de cargas em toneladas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44"/>
              <c:layout>
                <c:manualLayout>
                  <c:x val="0"/>
                  <c:y val="-4.6703287274003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50-4B69-93EB-40EF56A5ED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'médias móveis cargas'!$A$10:$A$56</c:f>
              <c:strCache>
                <c:ptCount val="47"/>
                <c:pt idx="0">
                  <c:v>março/21 a fevereiro/22</c:v>
                </c:pt>
                <c:pt idx="1">
                  <c:v>abril/21 a março/22</c:v>
                </c:pt>
                <c:pt idx="2">
                  <c:v>maio/21 a abril/22</c:v>
                </c:pt>
                <c:pt idx="3">
                  <c:v>junho/21 a maio/22</c:v>
                </c:pt>
                <c:pt idx="4">
                  <c:v>julho/21 a junho/22</c:v>
                </c:pt>
                <c:pt idx="5">
                  <c:v>agosto/21 a julho/22</c:v>
                </c:pt>
                <c:pt idx="6">
                  <c:v>setembro/21 a agosto/22</c:v>
                </c:pt>
                <c:pt idx="7">
                  <c:v>outubro/21 a setembro/22</c:v>
                </c:pt>
                <c:pt idx="8">
                  <c:v>novembro/21 a outubro/22</c:v>
                </c:pt>
                <c:pt idx="9">
                  <c:v>dezembro/21 a novembro/22</c:v>
                </c:pt>
                <c:pt idx="10">
                  <c:v>janeiro/22 a dezembro/22</c:v>
                </c:pt>
                <c:pt idx="11">
                  <c:v>fevereiro/22 a janeiro/23</c:v>
                </c:pt>
                <c:pt idx="12">
                  <c:v>março/22 a fevereiro/23</c:v>
                </c:pt>
                <c:pt idx="13">
                  <c:v>abril/22 a março/23</c:v>
                </c:pt>
                <c:pt idx="14">
                  <c:v>maio/22 a abril/23</c:v>
                </c:pt>
                <c:pt idx="15">
                  <c:v>junho/22 a maio/23</c:v>
                </c:pt>
                <c:pt idx="16">
                  <c:v>julho/22 a junho/23</c:v>
                </c:pt>
                <c:pt idx="17">
                  <c:v>agosto/22 a julho/23</c:v>
                </c:pt>
                <c:pt idx="18">
                  <c:v>setembro/22 a agosto/23</c:v>
                </c:pt>
                <c:pt idx="19">
                  <c:v>outubro/22 a setembro/23</c:v>
                </c:pt>
                <c:pt idx="20">
                  <c:v>novembro/22 a outubro/23</c:v>
                </c:pt>
                <c:pt idx="21">
                  <c:v>dezembro/22 a novembro/23</c:v>
                </c:pt>
                <c:pt idx="22">
                  <c:v>janeiro/23 a dezembro/23</c:v>
                </c:pt>
                <c:pt idx="23">
                  <c:v>fevereiro/23 a janeiro/24</c:v>
                </c:pt>
                <c:pt idx="24">
                  <c:v>março/23 a fevereiro/24</c:v>
                </c:pt>
                <c:pt idx="25">
                  <c:v>abril/23 a março/24</c:v>
                </c:pt>
                <c:pt idx="26">
                  <c:v>maio/23 a abril/24</c:v>
                </c:pt>
                <c:pt idx="27">
                  <c:v>junho/23 a maio/24</c:v>
                </c:pt>
                <c:pt idx="28">
                  <c:v>julho/23 a junho/24</c:v>
                </c:pt>
                <c:pt idx="29">
                  <c:v>agosto/23 a julho/24</c:v>
                </c:pt>
                <c:pt idx="30">
                  <c:v>setembro/23 a agosto/24</c:v>
                </c:pt>
                <c:pt idx="31">
                  <c:v>outubro/23 a setembro/24</c:v>
                </c:pt>
                <c:pt idx="32">
                  <c:v>novembro/23 a outubro/24</c:v>
                </c:pt>
                <c:pt idx="33">
                  <c:v>dezembro/23 a novembro/24</c:v>
                </c:pt>
                <c:pt idx="34">
                  <c:v>janeiro/24 a dezembro/24</c:v>
                </c:pt>
                <c:pt idx="35">
                  <c:v>fevereiro/24 a janeiro/25</c:v>
                </c:pt>
                <c:pt idx="36">
                  <c:v>março/24 a fevereiro/25</c:v>
                </c:pt>
                <c:pt idx="37">
                  <c:v>abril/24 a março/25</c:v>
                </c:pt>
                <c:pt idx="38">
                  <c:v>maio/24 a abril/25</c:v>
                </c:pt>
                <c:pt idx="39">
                  <c:v>junho/24 a maio/25</c:v>
                </c:pt>
                <c:pt idx="40">
                  <c:v>julho/24 a junho/25</c:v>
                </c:pt>
                <c:pt idx="41">
                  <c:v>agosto/24 a julho/25</c:v>
                </c:pt>
                <c:pt idx="42">
                  <c:v>setembro/24 a agosto/25</c:v>
                </c:pt>
                <c:pt idx="43">
                  <c:v>outubro/24 a setembro/25</c:v>
                </c:pt>
                <c:pt idx="44">
                  <c:v>novembro/24 a outubro/25</c:v>
                </c:pt>
                <c:pt idx="45">
                  <c:v>dezembro/24 a novembro/25</c:v>
                </c:pt>
                <c:pt idx="46">
                  <c:v>janeiro/25 a dezembro/25</c:v>
                </c:pt>
              </c:strCache>
            </c:strRef>
          </c:cat>
          <c:val>
            <c:numRef>
              <c:f>'médias móveis cargas'!$C$10:$C$56</c:f>
              <c:numCache>
                <c:formatCode>_-* #,##0.000_-;\-* #,##0.000_-;_-* "-"???_-;_-@_-</c:formatCode>
                <c:ptCount val="47"/>
                <c:pt idx="0" formatCode="_(* #,##0.000_);_(* \(#,##0.000\);_(* &quot;-&quot;??_);_(@_)">
                  <c:v>58125.795499999986</c:v>
                </c:pt>
                <c:pt idx="1">
                  <c:v>60176.370333333332</c:v>
                </c:pt>
                <c:pt idx="2">
                  <c:v>54567.39408333334</c:v>
                </c:pt>
                <c:pt idx="3">
                  <c:v>59421.426833333331</c:v>
                </c:pt>
                <c:pt idx="4">
                  <c:v>60429.99775000001</c:v>
                </c:pt>
                <c:pt idx="5">
                  <c:v>66653.075416666674</c:v>
                </c:pt>
                <c:pt idx="6">
                  <c:v>69595.654833333349</c:v>
                </c:pt>
                <c:pt idx="7">
                  <c:v>68793.997666666677</c:v>
                </c:pt>
                <c:pt idx="8">
                  <c:v>68965.283583333337</c:v>
                </c:pt>
                <c:pt idx="9">
                  <c:v>81993.862999999998</c:v>
                </c:pt>
                <c:pt idx="10">
                  <c:v>76573.313166666674</c:v>
                </c:pt>
                <c:pt idx="11">
                  <c:v>79843.118499999997</c:v>
                </c:pt>
                <c:pt idx="12">
                  <c:v>81123.63916666666</c:v>
                </c:pt>
                <c:pt idx="13" formatCode="_(* #,##0.000_);_(* \(#,##0.000\);_(* &quot;-&quot;??_);_(@_)">
                  <c:v>84122.233333333323</c:v>
                </c:pt>
                <c:pt idx="14" formatCode="_-* #,##0.000_-;\-* #,##0.000_-;_-* &quot;-&quot;??_-;_-@_-">
                  <c:v>86077.676416666654</c:v>
                </c:pt>
                <c:pt idx="15" formatCode="_(* #,##0.000_);_(* \(#,##0.000\);_(* &quot;-&quot;??_);_(@_)">
                  <c:v>81781.292333333331</c:v>
                </c:pt>
                <c:pt idx="16" formatCode="_(* #,##0.000_);_(* \(#,##0.000\);_(* &quot;-&quot;??_);_(@_)">
                  <c:v>85200.105499999991</c:v>
                </c:pt>
                <c:pt idx="17">
                  <c:v>85812.245583333322</c:v>
                </c:pt>
                <c:pt idx="18">
                  <c:v>84182.516250000001</c:v>
                </c:pt>
                <c:pt idx="19">
                  <c:v>90968.10841666667</c:v>
                </c:pt>
                <c:pt idx="20">
                  <c:v>87373.603666666662</c:v>
                </c:pt>
                <c:pt idx="21">
                  <c:v>86405.324166666673</c:v>
                </c:pt>
                <c:pt idx="22">
                  <c:v>86102.02383333334</c:v>
                </c:pt>
                <c:pt idx="23">
                  <c:v>85630.874250000008</c:v>
                </c:pt>
                <c:pt idx="24">
                  <c:v>88765.13175</c:v>
                </c:pt>
                <c:pt idx="25" formatCode="_(* #,##0.000_);_(* \(#,##0.000\);_(* &quot;-&quot;??_);_(@_)">
                  <c:v>89255.102750000005</c:v>
                </c:pt>
                <c:pt idx="26">
                  <c:v>95056.362416666685</c:v>
                </c:pt>
                <c:pt idx="27">
                  <c:v>103809.60625000001</c:v>
                </c:pt>
                <c:pt idx="28">
                  <c:v>109068.28658333333</c:v>
                </c:pt>
                <c:pt idx="29">
                  <c:v>108579.00841666669</c:v>
                </c:pt>
                <c:pt idx="30">
                  <c:v>113825.83000000002</c:v>
                </c:pt>
                <c:pt idx="31">
                  <c:v>114876.944</c:v>
                </c:pt>
                <c:pt idx="32">
                  <c:v>124551.36558333332</c:v>
                </c:pt>
                <c:pt idx="33">
                  <c:v>125547.57441666664</c:v>
                </c:pt>
                <c:pt idx="34">
                  <c:v>127260.87566666666</c:v>
                </c:pt>
                <c:pt idx="35">
                  <c:v>126028.34424999998</c:v>
                </c:pt>
                <c:pt idx="36">
                  <c:v>127720.51408333331</c:v>
                </c:pt>
                <c:pt idx="37">
                  <c:v>128670.45499999997</c:v>
                </c:pt>
                <c:pt idx="38">
                  <c:v>122532.72533333332</c:v>
                </c:pt>
                <c:pt idx="39">
                  <c:v>125323.44691666665</c:v>
                </c:pt>
                <c:pt idx="40">
                  <c:v>121623.84016666668</c:v>
                </c:pt>
                <c:pt idx="41">
                  <c:v>126162.77400000002</c:v>
                </c:pt>
                <c:pt idx="42">
                  <c:v>125857.8725</c:v>
                </c:pt>
                <c:pt idx="43">
                  <c:v>125793.45433333334</c:v>
                </c:pt>
                <c:pt idx="44">
                  <c:v>140238.21791666668</c:v>
                </c:pt>
                <c:pt idx="45">
                  <c:v>119905.72491666667</c:v>
                </c:pt>
                <c:pt idx="46">
                  <c:v>120190.28975000001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C-438A-82C8-07BA11ECB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748175903"/>
        <c:axId val="748161983"/>
        <c:axId val="0"/>
      </c:bar3DChart>
      <c:catAx>
        <c:axId val="748175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161983"/>
        <c:crosses val="autoZero"/>
        <c:auto val="1"/>
        <c:lblAlgn val="ctr"/>
        <c:lblOffset val="100"/>
        <c:noMultiLvlLbl val="0"/>
      </c:catAx>
      <c:valAx>
        <c:axId val="748161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0_);_(* \(#,##0.0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8175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'tempo espera x qtde navios'!$A$10</c:f>
              <c:strCache>
                <c:ptCount val="1"/>
                <c:pt idx="0">
                  <c:v>QUANTIDADE NAVIOS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'tempo espera x qtde navios'!$B$9:$M$9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'tempo espera x qtde navios'!$B$10:$M$10</c:f>
              <c:numCache>
                <c:formatCode>General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6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3-4A6F-A899-A55A3C008FB0}"/>
            </c:ext>
          </c:extLst>
        </c:ser>
        <c:ser>
          <c:idx val="1"/>
          <c:order val="1"/>
          <c:tx>
            <c:strRef>
              <c:f>'tempo espera x qtde navios'!$A$11</c:f>
              <c:strCache>
                <c:ptCount val="1"/>
                <c:pt idx="0">
                  <c:v>TEMPO MÉDIO ESPERA EM DIAS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'tempo espera x qtde navios'!$B$9:$M$9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'tempo espera x qtde navios'!$B$11:$M$11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12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3-4A6F-A899-A55A3C008F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8382335"/>
        <c:axId val="1"/>
      </c:lineChart>
      <c:catAx>
        <c:axId val="1538382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538382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0</xdr:col>
      <xdr:colOff>1066800</xdr:colOff>
      <xdr:row>3</xdr:row>
      <xdr:rowOff>133350</xdr:rowOff>
    </xdr:to>
    <xdr:pic>
      <xdr:nvPicPr>
        <xdr:cNvPr id="3527175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979F0E00-6A14-C0E7-9072-BB63413C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066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473075</xdr:colOff>
      <xdr:row>23</xdr:row>
      <xdr:rowOff>215900</xdr:rowOff>
    </xdr:from>
    <xdr:to>
      <xdr:col>5</xdr:col>
      <xdr:colOff>876300</xdr:colOff>
      <xdr:row>32</xdr:row>
      <xdr:rowOff>50799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69CD3F76-20D6-5E0A-CD3D-B018272F4587}"/>
            </a:ext>
          </a:extLst>
        </xdr:cNvPr>
        <xdr:cNvSpPr txBox="1"/>
      </xdr:nvSpPr>
      <xdr:spPr>
        <a:xfrm>
          <a:off x="8639175" y="5143500"/>
          <a:ext cx="2676525" cy="1917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pt-BR" sz="1100"/>
            <a:t>Da receita total acumulada no ano, foram</a:t>
          </a:r>
          <a:r>
            <a:rPr lang="pt-BR" sz="1100" baseline="0"/>
            <a:t> </a:t>
          </a:r>
          <a:r>
            <a:rPr lang="pt-BR" sz="1100"/>
            <a:t>suprimidas as</a:t>
          </a:r>
          <a:r>
            <a:rPr lang="pt-BR" sz="1100" baseline="0"/>
            <a:t> obtidas exclusivamente com o uso do canal de acesso (navios petroleiros e de turismo)  para determinar a média da receita por tonelada OPERADA no cais público no período.</a:t>
          </a:r>
        </a:p>
        <a:p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13</xdr:row>
      <xdr:rowOff>9526</xdr:rowOff>
    </xdr:from>
    <xdr:to>
      <xdr:col>13</xdr:col>
      <xdr:colOff>47625</xdr:colOff>
      <xdr:row>32</xdr:row>
      <xdr:rowOff>114301</xdr:rowOff>
    </xdr:to>
    <xdr:graphicFrame macro="">
      <xdr:nvGraphicFramePr>
        <xdr:cNvPr id="3777820" name="Gráfico 1">
          <a:extLst>
            <a:ext uri="{FF2B5EF4-FFF2-40B4-BE49-F238E27FC236}">
              <a16:creationId xmlns:a16="http://schemas.microsoft.com/office/drawing/2014/main" id="{262907AD-3DA5-9EEB-786E-8DD52CCED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</xdr:row>
      <xdr:rowOff>0</xdr:rowOff>
    </xdr:from>
    <xdr:to>
      <xdr:col>0</xdr:col>
      <xdr:colOff>1476375</xdr:colOff>
      <xdr:row>5</xdr:row>
      <xdr:rowOff>152400</xdr:rowOff>
    </xdr:to>
    <xdr:pic>
      <xdr:nvPicPr>
        <xdr:cNvPr id="3777821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1E1F82AC-8B20-715E-C5F6-F2D1B139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14287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</xdr:col>
      <xdr:colOff>1619250</xdr:colOff>
      <xdr:row>6</xdr:row>
      <xdr:rowOff>114300</xdr:rowOff>
    </xdr:to>
    <xdr:pic>
      <xdr:nvPicPr>
        <xdr:cNvPr id="3548414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449C8553-CBEF-234D-BC1A-264AB240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6478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114300</xdr:rowOff>
    </xdr:from>
    <xdr:to>
      <xdr:col>1</xdr:col>
      <xdr:colOff>1619250</xdr:colOff>
      <xdr:row>6</xdr:row>
      <xdr:rowOff>114300</xdr:rowOff>
    </xdr:to>
    <xdr:pic>
      <xdr:nvPicPr>
        <xdr:cNvPr id="3954780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6F85898B-10E6-C27D-64DE-5AAEC44EF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164782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1304925</xdr:colOff>
      <xdr:row>4</xdr:row>
      <xdr:rowOff>161925</xdr:rowOff>
    </xdr:to>
    <xdr:pic>
      <xdr:nvPicPr>
        <xdr:cNvPr id="3325631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89749D22-0F19-4BAA-0350-A02089D2B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12954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54</xdr:row>
      <xdr:rowOff>85725</xdr:rowOff>
    </xdr:from>
    <xdr:to>
      <xdr:col>0</xdr:col>
      <xdr:colOff>1295400</xdr:colOff>
      <xdr:row>59</xdr:row>
      <xdr:rowOff>85725</xdr:rowOff>
    </xdr:to>
    <xdr:pic>
      <xdr:nvPicPr>
        <xdr:cNvPr id="3325632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02CBEB08-E209-D6D3-73C6-9775F0C84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"/>
          <a:ext cx="12954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2</xdr:col>
      <xdr:colOff>0</xdr:colOff>
      <xdr:row>5</xdr:row>
      <xdr:rowOff>133350</xdr:rowOff>
    </xdr:to>
    <xdr:pic>
      <xdr:nvPicPr>
        <xdr:cNvPr id="3173203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DB5E759D-59BA-C4D3-05BB-B7C8CDE8C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18097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32</xdr:row>
      <xdr:rowOff>28575</xdr:rowOff>
    </xdr:from>
    <xdr:to>
      <xdr:col>20</xdr:col>
      <xdr:colOff>57150</xdr:colOff>
      <xdr:row>49</xdr:row>
      <xdr:rowOff>123825</xdr:rowOff>
    </xdr:to>
    <xdr:graphicFrame macro="">
      <xdr:nvGraphicFramePr>
        <xdr:cNvPr id="3173204" name="Gráfico 4">
          <a:extLst>
            <a:ext uri="{FF2B5EF4-FFF2-40B4-BE49-F238E27FC236}">
              <a16:creationId xmlns:a16="http://schemas.microsoft.com/office/drawing/2014/main" id="{0CEA76B7-8473-97F5-40F6-ABF93E393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0</xdr:col>
      <xdr:colOff>1990725</xdr:colOff>
      <xdr:row>4</xdr:row>
      <xdr:rowOff>19050</xdr:rowOff>
    </xdr:to>
    <xdr:pic>
      <xdr:nvPicPr>
        <xdr:cNvPr id="3553783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47741737-E87E-7180-AEEF-C001F3E2D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9050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44824</xdr:colOff>
      <xdr:row>57</xdr:row>
      <xdr:rowOff>89646</xdr:rowOff>
    </xdr:from>
    <xdr:to>
      <xdr:col>13</xdr:col>
      <xdr:colOff>470648</xdr:colOff>
      <xdr:row>83</xdr:row>
      <xdr:rowOff>89647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016E45-822A-1F60-1FB4-E9158EA70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85725</xdr:rowOff>
    </xdr:from>
    <xdr:to>
      <xdr:col>0</xdr:col>
      <xdr:colOff>1590675</xdr:colOff>
      <xdr:row>4</xdr:row>
      <xdr:rowOff>76200</xdr:rowOff>
    </xdr:to>
    <xdr:pic>
      <xdr:nvPicPr>
        <xdr:cNvPr id="3543295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04119283-4AC4-DA08-BF2F-A94C56BD1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15430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85725</xdr:rowOff>
    </xdr:from>
    <xdr:to>
      <xdr:col>0</xdr:col>
      <xdr:colOff>1562100</xdr:colOff>
      <xdr:row>4</xdr:row>
      <xdr:rowOff>57150</xdr:rowOff>
    </xdr:to>
    <xdr:pic>
      <xdr:nvPicPr>
        <xdr:cNvPr id="3564793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8EC52F36-8C77-04D6-BBF1-3FC431422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5"/>
          <a:ext cx="1524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66675</xdr:rowOff>
    </xdr:from>
    <xdr:to>
      <xdr:col>0</xdr:col>
      <xdr:colOff>1771650</xdr:colOff>
      <xdr:row>6</xdr:row>
      <xdr:rowOff>57150</xdr:rowOff>
    </xdr:to>
    <xdr:pic>
      <xdr:nvPicPr>
        <xdr:cNvPr id="3499283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E623FE9A-D5C8-9210-F7AD-008349CA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16573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76200</xdr:rowOff>
    </xdr:from>
    <xdr:to>
      <xdr:col>0</xdr:col>
      <xdr:colOff>1485900</xdr:colOff>
      <xdr:row>4</xdr:row>
      <xdr:rowOff>50800</xdr:rowOff>
    </xdr:to>
    <xdr:pic>
      <xdr:nvPicPr>
        <xdr:cNvPr id="3569912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62482238-8A89-05AF-7B2F-98C6E78D6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200"/>
          <a:ext cx="1476375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85725</xdr:rowOff>
    </xdr:from>
    <xdr:to>
      <xdr:col>0</xdr:col>
      <xdr:colOff>1533525</xdr:colOff>
      <xdr:row>2</xdr:row>
      <xdr:rowOff>180975</xdr:rowOff>
    </xdr:to>
    <xdr:pic>
      <xdr:nvPicPr>
        <xdr:cNvPr id="1427742" name="Imagem 1" descr="C:\Documents and Settings\paulomatos\Meus documentos\DOCAS SAO SEBASTIÃO\IMPRESSOS\PortoSaoSebastiao_CMYK-versao10 - com linha cinza.jpg">
          <a:extLst>
            <a:ext uri="{FF2B5EF4-FFF2-40B4-BE49-F238E27FC236}">
              <a16:creationId xmlns:a16="http://schemas.microsoft.com/office/drawing/2014/main" id="{A2ABA15D-A0C9-1B60-7FC5-89659F41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14097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Ápice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C4C4-250C-4643-8A2F-7F5F9BA368B2}">
  <dimension ref="A5:O35"/>
  <sheetViews>
    <sheetView showGridLines="0" tabSelected="1" zoomScale="75" zoomScaleNormal="75" workbookViewId="0">
      <selection activeCell="B26" sqref="B26"/>
    </sheetView>
  </sheetViews>
  <sheetFormatPr defaultRowHeight="15.75" x14ac:dyDescent="0.25"/>
  <cols>
    <col min="1" max="1" width="79.140625" style="140" customWidth="1"/>
    <col min="2" max="2" width="25.42578125" style="140" customWidth="1"/>
    <col min="3" max="3" width="17.7109375" style="140" customWidth="1"/>
    <col min="4" max="4" width="14" style="140" customWidth="1"/>
    <col min="5" max="5" width="20" style="140" bestFit="1" customWidth="1"/>
    <col min="6" max="6" width="13.5703125" style="140" bestFit="1" customWidth="1"/>
    <col min="7" max="7" width="34.42578125" style="140" bestFit="1" customWidth="1"/>
    <col min="8" max="8" width="21.7109375" style="140" bestFit="1" customWidth="1"/>
    <col min="9" max="9" width="11.42578125" style="140" bestFit="1" customWidth="1"/>
    <col min="10" max="16384" width="9.140625" style="140"/>
  </cols>
  <sheetData>
    <row r="5" spans="1:13" customFormat="1" ht="12.75" x14ac:dyDescent="0.2">
      <c r="F5" s="154"/>
    </row>
    <row r="6" spans="1:13" s="178" customFormat="1" ht="18.75" x14ac:dyDescent="0.3">
      <c r="A6" s="609" t="s">
        <v>314</v>
      </c>
      <c r="B6" s="609"/>
      <c r="C6" s="609"/>
      <c r="D6" s="609"/>
      <c r="E6" s="609"/>
      <c r="F6" s="609"/>
      <c r="G6" s="609"/>
      <c r="H6" s="609"/>
      <c r="J6" s="179"/>
    </row>
    <row r="7" spans="1:13" x14ac:dyDescent="0.25">
      <c r="A7" s="610" t="s">
        <v>717</v>
      </c>
      <c r="B7" s="610"/>
      <c r="C7" s="610"/>
      <c r="D7" s="610"/>
      <c r="E7" s="610"/>
      <c r="F7" s="610"/>
      <c r="G7" s="610"/>
      <c r="H7" s="610"/>
    </row>
    <row r="8" spans="1:13" x14ac:dyDescent="0.25">
      <c r="E8" s="180"/>
      <c r="F8" s="177"/>
    </row>
    <row r="9" spans="1:13" x14ac:dyDescent="0.25">
      <c r="A9" s="167" t="s">
        <v>118</v>
      </c>
      <c r="B9" s="607" t="s">
        <v>336</v>
      </c>
      <c r="C9" s="608"/>
      <c r="D9" s="607" t="s">
        <v>315</v>
      </c>
      <c r="E9" s="611"/>
      <c r="F9" s="167" t="s">
        <v>95</v>
      </c>
      <c r="G9" s="612" t="s">
        <v>316</v>
      </c>
      <c r="H9" s="613"/>
    </row>
    <row r="10" spans="1:13" x14ac:dyDescent="0.25">
      <c r="A10" s="175" t="s">
        <v>119</v>
      </c>
      <c r="B10" s="176" t="s">
        <v>36</v>
      </c>
      <c r="C10" s="306">
        <v>10</v>
      </c>
      <c r="D10" s="340" t="s">
        <v>37</v>
      </c>
      <c r="E10" s="501">
        <v>10</v>
      </c>
      <c r="F10" s="302">
        <f>E10/C10-1</f>
        <v>0</v>
      </c>
      <c r="G10" s="176" t="s">
        <v>128</v>
      </c>
      <c r="H10" s="185">
        <f>'berço 101'!O133</f>
        <v>104</v>
      </c>
      <c r="I10" s="180"/>
      <c r="J10" s="231"/>
    </row>
    <row r="11" spans="1:13" x14ac:dyDescent="0.25">
      <c r="A11" s="173" t="s">
        <v>468</v>
      </c>
      <c r="B11" s="172" t="s">
        <v>12</v>
      </c>
      <c r="C11" s="307">
        <v>1</v>
      </c>
      <c r="D11" s="326" t="s">
        <v>12</v>
      </c>
      <c r="E11" s="593">
        <v>1</v>
      </c>
      <c r="F11" s="303">
        <v>0</v>
      </c>
      <c r="G11" s="198" t="s">
        <v>128</v>
      </c>
      <c r="H11" s="186">
        <v>0</v>
      </c>
      <c r="I11" s="180"/>
      <c r="J11" s="140" t="s">
        <v>12</v>
      </c>
    </row>
    <row r="12" spans="1:13" x14ac:dyDescent="0.25">
      <c r="A12" s="175" t="s">
        <v>120</v>
      </c>
      <c r="B12" s="174" t="s">
        <v>12</v>
      </c>
      <c r="C12" s="308">
        <f>'berço 101'!E120</f>
        <v>21.968333333333334</v>
      </c>
      <c r="D12" s="341" t="s">
        <v>12</v>
      </c>
      <c r="E12" s="386">
        <f>'berço 101'!E132</f>
        <v>26.130000000000003</v>
      </c>
      <c r="F12" s="304">
        <f>E12/C12-1</f>
        <v>0.18943934451103872</v>
      </c>
      <c r="G12" s="174" t="s">
        <v>128</v>
      </c>
      <c r="H12" s="187">
        <f>'berço 101'!E133</f>
        <v>296.25833333333333</v>
      </c>
      <c r="I12" s="215"/>
      <c r="J12" s="215"/>
      <c r="K12" s="140" t="s">
        <v>12</v>
      </c>
    </row>
    <row r="13" spans="1:13" x14ac:dyDescent="0.25">
      <c r="A13" s="173" t="s">
        <v>133</v>
      </c>
      <c r="B13" s="172" t="s">
        <v>12</v>
      </c>
      <c r="C13" s="542">
        <f>'berço 101'!F120</f>
        <v>8.0316666666666663</v>
      </c>
      <c r="D13" s="140" t="s">
        <v>12</v>
      </c>
      <c r="E13" s="387">
        <f>'berço 101'!F132</f>
        <v>4.8699999999999974</v>
      </c>
      <c r="F13" s="305">
        <f>E13/C13-1</f>
        <v>-0.39365013488275602</v>
      </c>
      <c r="G13" s="172" t="s">
        <v>128</v>
      </c>
      <c r="H13" s="188">
        <f>'berço 101'!F133</f>
        <v>68.741666666666674</v>
      </c>
      <c r="I13" s="177"/>
      <c r="K13" s="140" t="s">
        <v>12</v>
      </c>
    </row>
    <row r="14" spans="1:13" x14ac:dyDescent="0.25">
      <c r="A14" s="171" t="s">
        <v>121</v>
      </c>
      <c r="B14" s="170" t="s">
        <v>12</v>
      </c>
      <c r="C14" s="339">
        <f>'Mov. Cargas '!K98</f>
        <v>98044.606999999989</v>
      </c>
      <c r="D14" s="342" t="s">
        <v>12</v>
      </c>
      <c r="E14" s="388">
        <f>'Mov. Cargas '!M98</f>
        <v>128734.67800000001</v>
      </c>
      <c r="F14" s="438">
        <f>E14/C14-1</f>
        <v>0.31302151070889628</v>
      </c>
      <c r="G14" s="170" t="s">
        <v>128</v>
      </c>
      <c r="H14" s="189">
        <f>'Mov. Cargas '!O98</f>
        <v>1442283.477</v>
      </c>
      <c r="J14" s="140" t="s">
        <v>12</v>
      </c>
    </row>
    <row r="15" spans="1:13" x14ac:dyDescent="0.25">
      <c r="A15" s="140" t="s">
        <v>117</v>
      </c>
      <c r="E15" s="180"/>
      <c r="F15" s="169"/>
      <c r="G15" s="165" t="s">
        <v>116</v>
      </c>
      <c r="H15" s="168">
        <f>H14/12</f>
        <v>120190.28975</v>
      </c>
      <c r="J15" s="140" t="s">
        <v>12</v>
      </c>
      <c r="K15" s="140" t="s">
        <v>12</v>
      </c>
      <c r="M15" s="140" t="s">
        <v>12</v>
      </c>
    </row>
    <row r="16" spans="1:13" ht="18.75" x14ac:dyDescent="0.3">
      <c r="E16" s="242"/>
      <c r="F16" s="180"/>
    </row>
    <row r="17" spans="1:15" x14ac:dyDescent="0.25">
      <c r="M17" s="140" t="s">
        <v>12</v>
      </c>
    </row>
    <row r="18" spans="1:15" x14ac:dyDescent="0.25">
      <c r="A18" s="167" t="s">
        <v>115</v>
      </c>
      <c r="B18" s="612" t="s">
        <v>134</v>
      </c>
      <c r="C18" s="614"/>
      <c r="D18" s="612" t="s">
        <v>114</v>
      </c>
      <c r="E18" s="614"/>
      <c r="F18" s="167" t="s">
        <v>95</v>
      </c>
      <c r="G18" s="607" t="s">
        <v>317</v>
      </c>
      <c r="H18" s="608"/>
    </row>
    <row r="19" spans="1:15" x14ac:dyDescent="0.25">
      <c r="A19" s="257" t="s">
        <v>122</v>
      </c>
      <c r="B19" s="325" t="s">
        <v>36</v>
      </c>
      <c r="C19" s="265">
        <f>receitas!L40</f>
        <v>6531451.6100000003</v>
      </c>
      <c r="D19" s="325" t="s">
        <v>37</v>
      </c>
      <c r="E19" s="265">
        <f>receitas!M40</f>
        <v>6978707.7000000002</v>
      </c>
      <c r="F19" s="256">
        <f>E19/C19-1</f>
        <v>6.8477287547415555E-2</v>
      </c>
      <c r="G19" s="176" t="s">
        <v>128</v>
      </c>
      <c r="H19" s="166">
        <f>receitas!N40</f>
        <v>75204378.780000001</v>
      </c>
      <c r="J19" s="140" t="s">
        <v>12</v>
      </c>
      <c r="L19" s="140" t="s">
        <v>12</v>
      </c>
    </row>
    <row r="20" spans="1:15" ht="21" x14ac:dyDescent="0.35">
      <c r="E20" s="234"/>
      <c r="G20" s="165" t="s">
        <v>113</v>
      </c>
      <c r="H20" s="164">
        <f>H19/12</f>
        <v>6267031.5650000004</v>
      </c>
      <c r="O20" s="140">
        <f>O18/7</f>
        <v>0</v>
      </c>
    </row>
    <row r="21" spans="1:15" x14ac:dyDescent="0.25">
      <c r="E21" s="180"/>
      <c r="F21" s="199"/>
    </row>
    <row r="22" spans="1:15" x14ac:dyDescent="0.25">
      <c r="G22" s="731"/>
      <c r="H22" s="731"/>
      <c r="K22" s="140" t="s">
        <v>12</v>
      </c>
    </row>
    <row r="23" spans="1:15" ht="27.75" x14ac:dyDescent="0.4">
      <c r="A23" s="389" t="s">
        <v>294</v>
      </c>
      <c r="B23" s="389" t="s">
        <v>140</v>
      </c>
      <c r="E23" s="245"/>
      <c r="G23" s="732"/>
      <c r="H23" s="733"/>
      <c r="L23" s="140" t="s">
        <v>12</v>
      </c>
    </row>
    <row r="24" spans="1:15" ht="18" x14ac:dyDescent="0.25">
      <c r="A24" s="149" t="s">
        <v>139</v>
      </c>
      <c r="B24" s="479">
        <v>22</v>
      </c>
      <c r="G24" s="734"/>
      <c r="H24" s="733"/>
    </row>
    <row r="25" spans="1:15" ht="20.25" x14ac:dyDescent="0.3">
      <c r="A25" s="478" t="s">
        <v>280</v>
      </c>
      <c r="B25" s="479">
        <v>29</v>
      </c>
    </row>
    <row r="26" spans="1:15" ht="18" x14ac:dyDescent="0.25">
      <c r="A26" s="149" t="s">
        <v>138</v>
      </c>
      <c r="B26" s="479">
        <v>28</v>
      </c>
      <c r="E26" s="140" t="s">
        <v>12</v>
      </c>
    </row>
    <row r="27" spans="1:15" ht="18" x14ac:dyDescent="0.25">
      <c r="A27" s="149" t="s">
        <v>367</v>
      </c>
      <c r="B27" s="479">
        <v>1</v>
      </c>
      <c r="G27" s="428" t="s">
        <v>188</v>
      </c>
      <c r="H27" s="429">
        <f>receitas!N40-receitas!N13-receitas!N14</f>
        <v>58717802.479999997</v>
      </c>
    </row>
    <row r="28" spans="1:15" ht="18" x14ac:dyDescent="0.25">
      <c r="A28" s="149" t="s">
        <v>337</v>
      </c>
      <c r="B28" s="479">
        <v>1</v>
      </c>
      <c r="G28" s="428"/>
      <c r="H28" s="429"/>
    </row>
    <row r="29" spans="1:15" ht="18" x14ac:dyDescent="0.25">
      <c r="A29" s="149" t="s">
        <v>186</v>
      </c>
      <c r="B29" s="479">
        <v>1</v>
      </c>
      <c r="G29" s="428" t="s">
        <v>189</v>
      </c>
      <c r="H29" s="431">
        <f>'Mov. Cargas '!O98</f>
        <v>1442283.477</v>
      </c>
    </row>
    <row r="30" spans="1:15" ht="18" x14ac:dyDescent="0.25">
      <c r="A30" s="149" t="s">
        <v>293</v>
      </c>
      <c r="B30" s="479">
        <v>2</v>
      </c>
      <c r="G30" s="428" t="s">
        <v>190</v>
      </c>
      <c r="H30" s="430">
        <f>H27/H29</f>
        <v>40.711693239483736</v>
      </c>
    </row>
    <row r="31" spans="1:15" ht="18" x14ac:dyDescent="0.25">
      <c r="A31" s="148" t="s">
        <v>259</v>
      </c>
      <c r="B31" s="480">
        <v>22</v>
      </c>
      <c r="G31" s="483"/>
      <c r="H31" s="484"/>
    </row>
    <row r="32" spans="1:15" ht="18" x14ac:dyDescent="0.25">
      <c r="A32" s="482" t="s">
        <v>318</v>
      </c>
      <c r="B32" s="481">
        <f>SUM(B24:B31)</f>
        <v>106</v>
      </c>
    </row>
    <row r="34" spans="1:1" x14ac:dyDescent="0.25">
      <c r="A34" s="393"/>
    </row>
    <row r="35" spans="1:1" x14ac:dyDescent="0.25">
      <c r="A35" s="393"/>
    </row>
  </sheetData>
  <mergeCells count="9">
    <mergeCell ref="G22:H22"/>
    <mergeCell ref="A6:H6"/>
    <mergeCell ref="A7:H7"/>
    <mergeCell ref="B9:C9"/>
    <mergeCell ref="D9:E9"/>
    <mergeCell ref="G9:H9"/>
    <mergeCell ref="B18:C18"/>
    <mergeCell ref="D18:E18"/>
    <mergeCell ref="G18:H18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1A0F-2329-4A2C-8EEB-81B520BA562E}">
  <dimension ref="A2:V143"/>
  <sheetViews>
    <sheetView showGridLines="0" topLeftCell="A115" zoomScaleNormal="100" workbookViewId="0">
      <selection activeCell="A133" sqref="A133:D133"/>
    </sheetView>
  </sheetViews>
  <sheetFormatPr defaultColWidth="11.42578125" defaultRowHeight="18" x14ac:dyDescent="0.25"/>
  <cols>
    <col min="1" max="1" width="43.5703125" style="109" customWidth="1"/>
    <col min="2" max="2" width="21.42578125" style="109" customWidth="1"/>
    <col min="3" max="3" width="34.140625" style="109" customWidth="1"/>
    <col min="4" max="4" width="35.42578125" style="126" customWidth="1"/>
    <col min="5" max="5" width="15.28515625" style="125" customWidth="1"/>
    <col min="6" max="6" width="17.7109375" style="125" customWidth="1"/>
    <col min="7" max="7" width="0.140625" style="1" customWidth="1"/>
    <col min="8" max="13" width="11.42578125" style="1" hidden="1" customWidth="1"/>
    <col min="14" max="14" width="11.42578125" style="1" customWidth="1"/>
    <col min="15" max="15" width="13.140625" style="90" bestFit="1" customWidth="1"/>
    <col min="16" max="16" width="11.42578125" style="1"/>
    <col min="17" max="17" width="12.5703125" style="1" bestFit="1" customWidth="1"/>
    <col min="18" max="16384" width="11.42578125" style="1"/>
  </cols>
  <sheetData>
    <row r="2" spans="1:15" ht="18" customHeight="1" x14ac:dyDescent="0.25">
      <c r="A2" s="698" t="s">
        <v>515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</row>
    <row r="3" spans="1:15" s="92" customFormat="1" ht="18" customHeight="1" x14ac:dyDescent="0.25">
      <c r="A3" s="698" t="s">
        <v>94</v>
      </c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</row>
    <row r="4" spans="1:15" ht="14.25" x14ac:dyDescent="0.2">
      <c r="A4" s="133" t="s">
        <v>93</v>
      </c>
      <c r="B4" s="133" t="s">
        <v>243</v>
      </c>
      <c r="C4" s="696" t="s">
        <v>137</v>
      </c>
      <c r="D4" s="133" t="s">
        <v>92</v>
      </c>
      <c r="E4" s="132" t="s">
        <v>91</v>
      </c>
      <c r="F4" s="132" t="s">
        <v>131</v>
      </c>
      <c r="N4" s="133" t="s">
        <v>151</v>
      </c>
      <c r="O4" s="133" t="s">
        <v>8</v>
      </c>
    </row>
    <row r="5" spans="1:15" ht="14.25" x14ac:dyDescent="0.2">
      <c r="A5" s="131" t="s">
        <v>90</v>
      </c>
      <c r="B5" s="131" t="s">
        <v>244</v>
      </c>
      <c r="C5" s="697"/>
      <c r="D5" s="131" t="s">
        <v>89</v>
      </c>
      <c r="E5" s="130" t="s">
        <v>88</v>
      </c>
      <c r="F5" s="447" t="s">
        <v>87</v>
      </c>
      <c r="N5" s="344" t="s">
        <v>152</v>
      </c>
      <c r="O5" s="344" t="s">
        <v>153</v>
      </c>
    </row>
    <row r="6" spans="1:15" x14ac:dyDescent="0.25">
      <c r="A6" s="379" t="s">
        <v>292</v>
      </c>
      <c r="B6" s="448"/>
      <c r="C6" s="190" t="s">
        <v>302</v>
      </c>
      <c r="D6" s="191" t="s">
        <v>304</v>
      </c>
      <c r="E6" s="237">
        <v>2.5</v>
      </c>
      <c r="F6" s="299"/>
      <c r="N6" s="343"/>
      <c r="O6" s="345"/>
    </row>
    <row r="7" spans="1:15" x14ac:dyDescent="0.25">
      <c r="A7" s="379" t="s">
        <v>516</v>
      </c>
      <c r="B7" s="598">
        <v>7</v>
      </c>
      <c r="C7" s="599" t="s">
        <v>138</v>
      </c>
      <c r="D7" s="129" t="s">
        <v>517</v>
      </c>
      <c r="E7" s="237">
        <v>0.89</v>
      </c>
      <c r="F7" s="299"/>
      <c r="N7" s="21"/>
      <c r="O7" s="346"/>
    </row>
    <row r="8" spans="1:15" x14ac:dyDescent="0.25">
      <c r="A8" s="379" t="s">
        <v>518</v>
      </c>
      <c r="B8" s="598">
        <v>2</v>
      </c>
      <c r="C8" s="599" t="s">
        <v>519</v>
      </c>
      <c r="D8" s="129" t="s">
        <v>520</v>
      </c>
      <c r="E8" s="237">
        <v>6.33</v>
      </c>
      <c r="F8" s="299"/>
      <c r="N8" s="21"/>
      <c r="O8" s="346"/>
    </row>
    <row r="9" spans="1:15" x14ac:dyDescent="0.25">
      <c r="A9" s="127" t="s">
        <v>305</v>
      </c>
      <c r="B9" s="129">
        <v>7</v>
      </c>
      <c r="C9" s="274" t="s">
        <v>306</v>
      </c>
      <c r="D9" s="129" t="s">
        <v>307</v>
      </c>
      <c r="E9" s="237">
        <v>1.55</v>
      </c>
      <c r="F9" s="446"/>
      <c r="N9" s="21"/>
      <c r="O9" s="346"/>
    </row>
    <row r="10" spans="1:15" x14ac:dyDescent="0.25">
      <c r="A10" s="127" t="s">
        <v>308</v>
      </c>
      <c r="B10" s="129">
        <v>8</v>
      </c>
      <c r="C10" s="274" t="s">
        <v>309</v>
      </c>
      <c r="D10" s="129" t="s">
        <v>310</v>
      </c>
      <c r="E10" s="237">
        <v>2.2200000000000002</v>
      </c>
      <c r="F10" s="446"/>
      <c r="N10" s="21"/>
      <c r="O10" s="346"/>
    </row>
    <row r="11" spans="1:15" x14ac:dyDescent="0.25">
      <c r="A11" s="127" t="s">
        <v>521</v>
      </c>
      <c r="B11" s="129">
        <v>4</v>
      </c>
      <c r="C11" s="274" t="s">
        <v>138</v>
      </c>
      <c r="D11" s="129" t="s">
        <v>522</v>
      </c>
      <c r="E11" s="237">
        <v>1.64</v>
      </c>
      <c r="F11" s="446"/>
      <c r="N11" s="21"/>
      <c r="O11" s="346"/>
    </row>
    <row r="12" spans="1:15" x14ac:dyDescent="0.25">
      <c r="A12" s="127" t="s">
        <v>311</v>
      </c>
      <c r="B12" s="129">
        <v>0</v>
      </c>
      <c r="C12" s="274" t="s">
        <v>21</v>
      </c>
      <c r="D12" s="129" t="s">
        <v>312</v>
      </c>
      <c r="E12" s="237">
        <v>2.27</v>
      </c>
      <c r="F12" s="446"/>
      <c r="N12" s="21"/>
      <c r="O12" s="346"/>
    </row>
    <row r="13" spans="1:15" x14ac:dyDescent="0.25">
      <c r="A13" s="127" t="s">
        <v>319</v>
      </c>
      <c r="B13" s="129">
        <v>0</v>
      </c>
      <c r="C13" s="274" t="s">
        <v>237</v>
      </c>
      <c r="D13" s="129" t="s">
        <v>320</v>
      </c>
      <c r="E13" s="237">
        <v>3.39</v>
      </c>
      <c r="F13" s="446"/>
      <c r="N13" s="21"/>
      <c r="O13" s="346"/>
    </row>
    <row r="14" spans="1:15" x14ac:dyDescent="0.25">
      <c r="A14" s="128" t="s">
        <v>66</v>
      </c>
      <c r="B14" s="449">
        <f>SUM(B6:B13)</f>
        <v>28</v>
      </c>
      <c r="C14" s="275"/>
      <c r="D14" s="248" t="s">
        <v>16</v>
      </c>
      <c r="E14" s="238">
        <f>SUM(E6:E13)</f>
        <v>20.790000000000003</v>
      </c>
      <c r="F14" s="238">
        <f>31-E14</f>
        <v>10.209999999999997</v>
      </c>
      <c r="N14" s="502">
        <f>E14/31</f>
        <v>0.6706451612903227</v>
      </c>
      <c r="O14" s="503">
        <v>7</v>
      </c>
    </row>
    <row r="15" spans="1:15" x14ac:dyDescent="0.25">
      <c r="A15" s="253" t="s">
        <v>319</v>
      </c>
      <c r="B15" s="450"/>
      <c r="C15" s="276" t="s">
        <v>237</v>
      </c>
      <c r="D15" s="254" t="s">
        <v>323</v>
      </c>
      <c r="E15" s="255">
        <v>2.23</v>
      </c>
      <c r="F15" s="252"/>
      <c r="N15" s="21"/>
      <c r="O15" s="346"/>
    </row>
    <row r="16" spans="1:15" x14ac:dyDescent="0.25">
      <c r="A16" s="253" t="s">
        <v>523</v>
      </c>
      <c r="B16" s="450">
        <v>1</v>
      </c>
      <c r="C16" s="276" t="s">
        <v>138</v>
      </c>
      <c r="D16" s="254" t="s">
        <v>524</v>
      </c>
      <c r="E16" s="255">
        <v>1.01</v>
      </c>
      <c r="F16" s="252"/>
      <c r="N16" s="21"/>
      <c r="O16" s="346"/>
    </row>
    <row r="17" spans="1:15" x14ac:dyDescent="0.25">
      <c r="A17" s="253" t="s">
        <v>324</v>
      </c>
      <c r="B17" s="450">
        <v>0</v>
      </c>
      <c r="C17" s="276" t="s">
        <v>237</v>
      </c>
      <c r="D17" s="254" t="s">
        <v>325</v>
      </c>
      <c r="E17" s="255">
        <v>2.2599999999999998</v>
      </c>
      <c r="F17" s="252"/>
      <c r="N17" s="21"/>
      <c r="O17" s="346"/>
    </row>
    <row r="18" spans="1:15" x14ac:dyDescent="0.25">
      <c r="A18" s="253" t="s">
        <v>525</v>
      </c>
      <c r="B18" s="450">
        <v>1</v>
      </c>
      <c r="C18" s="276" t="s">
        <v>27</v>
      </c>
      <c r="D18" s="254" t="s">
        <v>526</v>
      </c>
      <c r="E18" s="255">
        <v>1.43</v>
      </c>
      <c r="F18" s="252"/>
      <c r="N18" s="21"/>
      <c r="O18" s="346"/>
    </row>
    <row r="19" spans="1:15" x14ac:dyDescent="0.25">
      <c r="A19" s="253" t="s">
        <v>326</v>
      </c>
      <c r="B19" s="450">
        <v>2</v>
      </c>
      <c r="C19" s="276" t="s">
        <v>21</v>
      </c>
      <c r="D19" s="254" t="s">
        <v>327</v>
      </c>
      <c r="E19" s="255">
        <v>1.72</v>
      </c>
      <c r="F19" s="252"/>
      <c r="N19" s="21"/>
      <c r="O19" s="346"/>
    </row>
    <row r="20" spans="1:15" x14ac:dyDescent="0.25">
      <c r="A20" s="253" t="s">
        <v>328</v>
      </c>
      <c r="B20" s="450">
        <v>0</v>
      </c>
      <c r="C20" s="276" t="s">
        <v>21</v>
      </c>
      <c r="D20" s="254" t="s">
        <v>329</v>
      </c>
      <c r="E20" s="255">
        <v>2.85</v>
      </c>
      <c r="F20" s="252"/>
      <c r="N20" s="21"/>
      <c r="O20" s="346"/>
    </row>
    <row r="21" spans="1:15" x14ac:dyDescent="0.25">
      <c r="A21" s="253" t="s">
        <v>527</v>
      </c>
      <c r="B21" s="450">
        <v>3</v>
      </c>
      <c r="C21" s="276" t="s">
        <v>138</v>
      </c>
      <c r="D21" s="254" t="s">
        <v>528</v>
      </c>
      <c r="E21" s="255">
        <v>1.23</v>
      </c>
      <c r="F21" s="252"/>
      <c r="N21" s="21"/>
      <c r="O21" s="346"/>
    </row>
    <row r="22" spans="1:15" x14ac:dyDescent="0.25">
      <c r="A22" s="253" t="s">
        <v>330</v>
      </c>
      <c r="B22" s="450">
        <v>2</v>
      </c>
      <c r="C22" s="276" t="s">
        <v>22</v>
      </c>
      <c r="D22" s="254" t="s">
        <v>331</v>
      </c>
      <c r="E22" s="255">
        <v>3.9</v>
      </c>
      <c r="F22" s="252"/>
      <c r="N22" s="21"/>
      <c r="O22" s="346"/>
    </row>
    <row r="23" spans="1:15" x14ac:dyDescent="0.25">
      <c r="A23" s="253" t="s">
        <v>332</v>
      </c>
      <c r="B23" s="450">
        <v>4</v>
      </c>
      <c r="C23" s="276" t="s">
        <v>21</v>
      </c>
      <c r="D23" s="254" t="s">
        <v>333</v>
      </c>
      <c r="E23" s="255">
        <v>3.48</v>
      </c>
      <c r="F23" s="252"/>
      <c r="N23" s="21"/>
      <c r="O23" s="346"/>
    </row>
    <row r="24" spans="1:15" x14ac:dyDescent="0.25">
      <c r="A24" s="253" t="s">
        <v>334</v>
      </c>
      <c r="B24" s="450">
        <v>6</v>
      </c>
      <c r="C24" s="276" t="s">
        <v>23</v>
      </c>
      <c r="D24" s="254" t="s">
        <v>335</v>
      </c>
      <c r="E24" s="255">
        <v>3.51</v>
      </c>
      <c r="F24" s="252"/>
      <c r="N24" s="21"/>
      <c r="O24" s="346"/>
    </row>
    <row r="25" spans="1:15" x14ac:dyDescent="0.25">
      <c r="A25" s="253" t="s">
        <v>529</v>
      </c>
      <c r="B25" s="450">
        <v>2</v>
      </c>
      <c r="C25" s="276" t="s">
        <v>138</v>
      </c>
      <c r="D25" s="254" t="s">
        <v>530</v>
      </c>
      <c r="E25" s="255">
        <v>0.6</v>
      </c>
      <c r="F25" s="252"/>
      <c r="N25" s="21"/>
      <c r="O25" s="346"/>
    </row>
    <row r="26" spans="1:15" x14ac:dyDescent="0.25">
      <c r="A26" s="128" t="s">
        <v>66</v>
      </c>
      <c r="B26" s="449">
        <f>SUM(B15:B25)</f>
        <v>21</v>
      </c>
      <c r="C26" s="275"/>
      <c r="D26" s="248" t="s">
        <v>17</v>
      </c>
      <c r="E26" s="238">
        <f>SUM(E15:E25)</f>
        <v>24.22</v>
      </c>
      <c r="F26" s="238">
        <f>28-E26</f>
        <v>3.7800000000000011</v>
      </c>
      <c r="G26" s="90"/>
      <c r="H26" s="90"/>
      <c r="I26" s="90"/>
      <c r="J26" s="90"/>
      <c r="K26" s="90"/>
      <c r="L26" s="90"/>
      <c r="M26" s="90"/>
      <c r="N26" s="502">
        <f>E26/28</f>
        <v>0.86499999999999999</v>
      </c>
      <c r="O26" s="503">
        <v>10</v>
      </c>
    </row>
    <row r="27" spans="1:15" x14ac:dyDescent="0.25">
      <c r="A27" s="253" t="s">
        <v>529</v>
      </c>
      <c r="B27" s="600"/>
      <c r="C27" s="276" t="s">
        <v>138</v>
      </c>
      <c r="D27" s="254" t="s">
        <v>531</v>
      </c>
      <c r="E27" s="255">
        <v>1.1299999999999999</v>
      </c>
      <c r="F27" s="252"/>
      <c r="G27" s="528"/>
      <c r="H27" s="528"/>
      <c r="I27" s="528"/>
      <c r="J27" s="528"/>
      <c r="K27" s="528"/>
      <c r="L27" s="528"/>
      <c r="M27" s="528"/>
      <c r="N27" s="601"/>
      <c r="O27" s="602"/>
    </row>
    <row r="28" spans="1:15" x14ac:dyDescent="0.25">
      <c r="A28" s="253" t="s">
        <v>340</v>
      </c>
      <c r="B28" s="450">
        <v>0</v>
      </c>
      <c r="C28" s="276" t="s">
        <v>302</v>
      </c>
      <c r="D28" s="254" t="s">
        <v>341</v>
      </c>
      <c r="E28" s="255">
        <v>3.68</v>
      </c>
      <c r="F28" s="252"/>
      <c r="G28" s="90"/>
      <c r="H28" s="90"/>
      <c r="I28" s="90"/>
      <c r="J28" s="90"/>
      <c r="K28" s="90"/>
      <c r="L28" s="90"/>
      <c r="M28" s="90"/>
      <c r="N28" s="504"/>
      <c r="O28" s="445"/>
    </row>
    <row r="29" spans="1:15" x14ac:dyDescent="0.25">
      <c r="A29" s="253" t="s">
        <v>342</v>
      </c>
      <c r="B29" s="450">
        <v>4</v>
      </c>
      <c r="C29" s="276" t="s">
        <v>21</v>
      </c>
      <c r="D29" s="254" t="s">
        <v>343</v>
      </c>
      <c r="E29" s="255">
        <v>2.76</v>
      </c>
      <c r="F29" s="252"/>
      <c r="G29" s="90"/>
      <c r="H29" s="90"/>
      <c r="I29" s="90"/>
      <c r="J29" s="90"/>
      <c r="K29" s="90"/>
      <c r="L29" s="90"/>
      <c r="M29" s="90"/>
      <c r="N29" s="504"/>
      <c r="O29" s="445"/>
    </row>
    <row r="30" spans="1:15" x14ac:dyDescent="0.25">
      <c r="A30" s="253" t="s">
        <v>344</v>
      </c>
      <c r="B30" s="450">
        <v>0</v>
      </c>
      <c r="C30" s="276" t="s">
        <v>309</v>
      </c>
      <c r="D30" s="254" t="s">
        <v>345</v>
      </c>
      <c r="E30" s="255">
        <v>2.14</v>
      </c>
      <c r="F30" s="252"/>
      <c r="G30" s="90"/>
      <c r="H30" s="90"/>
      <c r="I30" s="90"/>
      <c r="J30" s="90"/>
      <c r="K30" s="90"/>
      <c r="L30" s="90"/>
      <c r="M30" s="90"/>
      <c r="N30" s="504"/>
      <c r="O30" s="445"/>
    </row>
    <row r="31" spans="1:15" x14ac:dyDescent="0.25">
      <c r="A31" s="253" t="s">
        <v>346</v>
      </c>
      <c r="B31" s="450">
        <v>7</v>
      </c>
      <c r="C31" s="276" t="s">
        <v>302</v>
      </c>
      <c r="D31" s="254" t="s">
        <v>347</v>
      </c>
      <c r="E31" s="255">
        <v>3.01</v>
      </c>
      <c r="F31" s="252"/>
      <c r="G31" s="90"/>
      <c r="H31" s="90"/>
      <c r="I31" s="90"/>
      <c r="J31" s="90"/>
      <c r="K31" s="90"/>
      <c r="L31" s="90"/>
      <c r="M31" s="90"/>
      <c r="N31" s="504"/>
      <c r="O31" s="445"/>
    </row>
    <row r="32" spans="1:15" x14ac:dyDescent="0.25">
      <c r="A32" s="253" t="s">
        <v>348</v>
      </c>
      <c r="B32" s="450">
        <v>10</v>
      </c>
      <c r="C32" s="276" t="s">
        <v>302</v>
      </c>
      <c r="D32" s="254" t="s">
        <v>349</v>
      </c>
      <c r="E32" s="255">
        <v>1.73</v>
      </c>
      <c r="F32" s="252"/>
      <c r="G32" s="90"/>
      <c r="H32" s="90"/>
      <c r="I32" s="90"/>
      <c r="J32" s="90"/>
      <c r="K32" s="90"/>
      <c r="L32" s="90"/>
      <c r="M32" s="90"/>
      <c r="N32" s="504"/>
      <c r="O32" s="445"/>
    </row>
    <row r="33" spans="1:22" x14ac:dyDescent="0.25">
      <c r="A33" s="253" t="s">
        <v>532</v>
      </c>
      <c r="B33" s="450">
        <v>2</v>
      </c>
      <c r="C33" s="276" t="s">
        <v>138</v>
      </c>
      <c r="D33" s="254" t="s">
        <v>535</v>
      </c>
      <c r="E33" s="255">
        <v>2.46</v>
      </c>
      <c r="F33" s="252"/>
      <c r="G33" s="90"/>
      <c r="H33" s="90"/>
      <c r="I33" s="90"/>
      <c r="J33" s="90"/>
      <c r="K33" s="90"/>
      <c r="L33" s="90"/>
      <c r="M33" s="90"/>
      <c r="N33" s="504"/>
      <c r="O33" s="445"/>
    </row>
    <row r="34" spans="1:22" x14ac:dyDescent="0.25">
      <c r="A34" s="253" t="s">
        <v>533</v>
      </c>
      <c r="B34" s="450">
        <v>3</v>
      </c>
      <c r="C34" s="276" t="s">
        <v>534</v>
      </c>
      <c r="D34" s="254" t="s">
        <v>536</v>
      </c>
      <c r="E34" s="255">
        <v>4.09</v>
      </c>
      <c r="F34" s="252"/>
      <c r="G34" s="90"/>
      <c r="H34" s="90"/>
      <c r="I34" s="90"/>
      <c r="J34" s="90"/>
      <c r="K34" s="90"/>
      <c r="L34" s="90"/>
      <c r="M34" s="90"/>
      <c r="N34" s="504"/>
      <c r="O34" s="445"/>
    </row>
    <row r="35" spans="1:22" x14ac:dyDescent="0.25">
      <c r="A35" s="253" t="s">
        <v>350</v>
      </c>
      <c r="B35" s="450">
        <v>3</v>
      </c>
      <c r="C35" s="276" t="s">
        <v>21</v>
      </c>
      <c r="D35" s="254" t="s">
        <v>351</v>
      </c>
      <c r="E35" s="255">
        <v>2.25</v>
      </c>
      <c r="F35" s="252"/>
      <c r="G35" s="90"/>
      <c r="H35" s="90"/>
      <c r="I35" s="90"/>
      <c r="J35" s="90"/>
      <c r="K35" s="90"/>
      <c r="L35" s="90"/>
      <c r="M35" s="90"/>
      <c r="N35" s="504"/>
      <c r="O35" s="445"/>
    </row>
    <row r="36" spans="1:22" x14ac:dyDescent="0.25">
      <c r="A36" s="253" t="s">
        <v>352</v>
      </c>
      <c r="B36" s="450">
        <v>0</v>
      </c>
      <c r="C36" s="276" t="s">
        <v>306</v>
      </c>
      <c r="D36" s="254" t="s">
        <v>537</v>
      </c>
      <c r="E36" s="255">
        <v>1.31</v>
      </c>
      <c r="F36" s="252"/>
      <c r="G36" s="90"/>
      <c r="H36" s="90"/>
      <c r="I36" s="90"/>
      <c r="J36" s="90"/>
      <c r="K36" s="90"/>
      <c r="L36" s="90"/>
      <c r="M36" s="90"/>
      <c r="N36" s="504"/>
      <c r="O36" s="445"/>
    </row>
    <row r="37" spans="1:22" x14ac:dyDescent="0.25">
      <c r="A37" s="253" t="s">
        <v>538</v>
      </c>
      <c r="B37" s="450">
        <v>1</v>
      </c>
      <c r="C37" s="276" t="s">
        <v>138</v>
      </c>
      <c r="D37" s="254" t="s">
        <v>539</v>
      </c>
      <c r="E37" s="255">
        <v>1.22</v>
      </c>
      <c r="F37" s="252"/>
      <c r="G37" s="90"/>
      <c r="H37" s="90"/>
      <c r="I37" s="90"/>
      <c r="J37" s="90"/>
      <c r="K37" s="90"/>
      <c r="L37" s="90"/>
      <c r="M37" s="90"/>
      <c r="N37" s="504"/>
      <c r="O37" s="445"/>
    </row>
    <row r="38" spans="1:22" x14ac:dyDescent="0.25">
      <c r="A38" s="128" t="s">
        <v>66</v>
      </c>
      <c r="B38" s="449">
        <f>SUM(B28:B37)</f>
        <v>30</v>
      </c>
      <c r="C38" s="275"/>
      <c r="D38" s="248" t="s">
        <v>18</v>
      </c>
      <c r="E38" s="238">
        <f>SUM(E27:E37)</f>
        <v>25.779999999999998</v>
      </c>
      <c r="F38" s="238">
        <f>31-E38</f>
        <v>5.2200000000000024</v>
      </c>
      <c r="G38" s="90"/>
      <c r="H38" s="90"/>
      <c r="I38" s="90"/>
      <c r="J38" s="90"/>
      <c r="K38" s="90"/>
      <c r="L38" s="90"/>
      <c r="M38" s="90"/>
      <c r="N38" s="543">
        <f>E38/31</f>
        <v>0.83161290322580639</v>
      </c>
      <c r="O38" s="505">
        <v>11</v>
      </c>
      <c r="R38" s="230" t="s">
        <v>12</v>
      </c>
    </row>
    <row r="39" spans="1:22" x14ac:dyDescent="0.25">
      <c r="A39" s="253" t="s">
        <v>359</v>
      </c>
      <c r="B39" s="450">
        <v>0</v>
      </c>
      <c r="C39" s="276" t="s">
        <v>21</v>
      </c>
      <c r="D39" s="254" t="s">
        <v>360</v>
      </c>
      <c r="E39" s="255">
        <v>4.97</v>
      </c>
      <c r="F39" s="252"/>
      <c r="G39" s="90"/>
      <c r="H39" s="90"/>
      <c r="I39" s="90"/>
      <c r="J39" s="90"/>
      <c r="K39" s="90"/>
      <c r="L39" s="90"/>
      <c r="M39" s="90"/>
      <c r="N39" s="346"/>
      <c r="O39" s="346"/>
      <c r="P39" s="230" t="s">
        <v>12</v>
      </c>
      <c r="Q39" s="396"/>
      <c r="R39" s="230"/>
    </row>
    <row r="40" spans="1:22" x14ac:dyDescent="0.25">
      <c r="A40" s="253" t="s">
        <v>361</v>
      </c>
      <c r="B40" s="450">
        <v>3</v>
      </c>
      <c r="C40" s="276" t="s">
        <v>237</v>
      </c>
      <c r="D40" s="254" t="s">
        <v>362</v>
      </c>
      <c r="E40" s="255">
        <v>2.77</v>
      </c>
      <c r="F40" s="252"/>
      <c r="G40" s="90"/>
      <c r="H40" s="90"/>
      <c r="I40" s="90"/>
      <c r="J40" s="90"/>
      <c r="K40" s="90"/>
      <c r="L40" s="90"/>
      <c r="M40" s="90"/>
      <c r="N40" s="346"/>
      <c r="O40" s="346"/>
      <c r="P40" s="230"/>
      <c r="Q40" s="396"/>
      <c r="R40" s="230"/>
    </row>
    <row r="41" spans="1:22" x14ac:dyDescent="0.25">
      <c r="A41" s="253" t="s">
        <v>363</v>
      </c>
      <c r="B41" s="450">
        <v>0</v>
      </c>
      <c r="C41" s="276" t="s">
        <v>21</v>
      </c>
      <c r="D41" s="254" t="s">
        <v>364</v>
      </c>
      <c r="E41" s="255">
        <v>3.92</v>
      </c>
      <c r="F41" s="252"/>
      <c r="G41" s="90"/>
      <c r="H41" s="90"/>
      <c r="I41" s="90"/>
      <c r="J41" s="90"/>
      <c r="K41" s="90"/>
      <c r="L41" s="90"/>
      <c r="M41" s="90"/>
      <c r="N41" s="346"/>
      <c r="O41" s="346"/>
      <c r="P41" s="230"/>
      <c r="Q41" s="396"/>
      <c r="R41" s="230"/>
    </row>
    <row r="42" spans="1:22" x14ac:dyDescent="0.25">
      <c r="A42" s="253" t="s">
        <v>540</v>
      </c>
      <c r="B42" s="450">
        <v>5</v>
      </c>
      <c r="C42" s="276" t="s">
        <v>138</v>
      </c>
      <c r="D42" s="254" t="s">
        <v>541</v>
      </c>
      <c r="E42" s="255">
        <v>1.17</v>
      </c>
      <c r="F42" s="252"/>
      <c r="G42" s="90"/>
      <c r="H42" s="90"/>
      <c r="I42" s="90"/>
      <c r="J42" s="90"/>
      <c r="K42" s="90"/>
      <c r="L42" s="90"/>
      <c r="M42" s="90"/>
      <c r="N42" s="346"/>
      <c r="O42" s="346"/>
      <c r="P42" s="230"/>
      <c r="Q42" s="396"/>
      <c r="R42" s="230"/>
    </row>
    <row r="43" spans="1:22" x14ac:dyDescent="0.25">
      <c r="A43" s="253" t="s">
        <v>365</v>
      </c>
      <c r="B43" s="450">
        <v>4</v>
      </c>
      <c r="C43" s="276" t="s">
        <v>353</v>
      </c>
      <c r="D43" s="254" t="s">
        <v>366</v>
      </c>
      <c r="E43" s="255">
        <v>0.85</v>
      </c>
      <c r="F43" s="252"/>
      <c r="G43" s="90"/>
      <c r="H43" s="90"/>
      <c r="I43" s="90"/>
      <c r="J43" s="90"/>
      <c r="K43" s="90"/>
      <c r="L43" s="90"/>
      <c r="M43" s="90"/>
      <c r="N43" s="346"/>
      <c r="O43" s="346"/>
      <c r="P43" s="230"/>
      <c r="Q43" s="396"/>
      <c r="R43" s="230"/>
    </row>
    <row r="44" spans="1:22" x14ac:dyDescent="0.25">
      <c r="A44" s="253" t="s">
        <v>542</v>
      </c>
      <c r="B44" s="450">
        <v>0</v>
      </c>
      <c r="C44" s="276" t="s">
        <v>354</v>
      </c>
      <c r="D44" s="254" t="s">
        <v>543</v>
      </c>
      <c r="E44" s="255">
        <v>0.73</v>
      </c>
      <c r="F44" s="252"/>
      <c r="G44" s="90"/>
      <c r="H44" s="90"/>
      <c r="I44" s="90"/>
      <c r="J44" s="90"/>
      <c r="K44" s="90"/>
      <c r="L44" s="90"/>
      <c r="M44" s="90"/>
      <c r="N44" s="346"/>
      <c r="O44" s="346"/>
      <c r="P44" s="230"/>
      <c r="Q44" s="396"/>
      <c r="R44" s="230"/>
    </row>
    <row r="45" spans="1:22" x14ac:dyDescent="0.25">
      <c r="A45" s="253" t="s">
        <v>368</v>
      </c>
      <c r="B45" s="450">
        <v>0</v>
      </c>
      <c r="C45" s="276" t="s">
        <v>21</v>
      </c>
      <c r="D45" s="254" t="s">
        <v>369</v>
      </c>
      <c r="E45" s="255">
        <v>0.1</v>
      </c>
      <c r="F45" s="252"/>
      <c r="G45" s="90"/>
      <c r="H45" s="90"/>
      <c r="I45" s="90"/>
      <c r="J45" s="90"/>
      <c r="K45" s="90"/>
      <c r="L45" s="90"/>
      <c r="M45" s="90"/>
      <c r="N45" s="346"/>
      <c r="O45" s="346"/>
      <c r="P45" s="230"/>
      <c r="Q45" s="396"/>
      <c r="R45" s="230"/>
    </row>
    <row r="46" spans="1:22" x14ac:dyDescent="0.25">
      <c r="A46" s="128" t="s">
        <v>66</v>
      </c>
      <c r="B46" s="449">
        <f>SUM(B39:B45)</f>
        <v>12</v>
      </c>
      <c r="C46" s="275"/>
      <c r="D46" s="248" t="s">
        <v>51</v>
      </c>
      <c r="E46" s="238">
        <f>SUM(E39:E45)</f>
        <v>14.51</v>
      </c>
      <c r="F46" s="238">
        <f>30-E46</f>
        <v>15.49</v>
      </c>
      <c r="G46" s="90"/>
      <c r="H46" s="90"/>
      <c r="I46" s="90"/>
      <c r="J46" s="90"/>
      <c r="K46" s="90"/>
      <c r="L46" s="90"/>
      <c r="M46" s="90"/>
      <c r="N46" s="502">
        <f>E46/30</f>
        <v>0.48366666666666663</v>
      </c>
      <c r="O46" s="503">
        <v>6</v>
      </c>
      <c r="P46" s="230" t="s">
        <v>12</v>
      </c>
      <c r="R46" s="230"/>
    </row>
    <row r="47" spans="1:22" x14ac:dyDescent="0.25">
      <c r="A47" s="253" t="s">
        <v>368</v>
      </c>
      <c r="B47" s="450"/>
      <c r="C47" s="276" t="s">
        <v>21</v>
      </c>
      <c r="D47" s="254" t="s">
        <v>372</v>
      </c>
      <c r="E47" s="255">
        <v>2.59</v>
      </c>
      <c r="F47" s="252"/>
      <c r="G47" s="90"/>
      <c r="H47" s="90"/>
      <c r="I47" s="90"/>
      <c r="J47" s="90"/>
      <c r="K47" s="90"/>
      <c r="L47" s="90"/>
      <c r="M47" s="90"/>
      <c r="N47" s="346"/>
      <c r="O47" s="346"/>
      <c r="P47" s="230" t="s">
        <v>12</v>
      </c>
      <c r="R47" s="230"/>
      <c r="V47" s="230" t="s">
        <v>12</v>
      </c>
    </row>
    <row r="48" spans="1:22" x14ac:dyDescent="0.25">
      <c r="A48" s="253" t="s">
        <v>373</v>
      </c>
      <c r="B48" s="450">
        <v>1</v>
      </c>
      <c r="C48" s="276" t="s">
        <v>21</v>
      </c>
      <c r="D48" s="254" t="s">
        <v>374</v>
      </c>
      <c r="E48" s="255">
        <v>2.93</v>
      </c>
      <c r="F48" s="252"/>
      <c r="G48" s="90"/>
      <c r="H48" s="90"/>
      <c r="I48" s="90"/>
      <c r="J48" s="90"/>
      <c r="K48" s="90"/>
      <c r="L48" s="90"/>
      <c r="M48" s="90"/>
      <c r="N48" s="346"/>
      <c r="O48" s="346"/>
      <c r="P48" s="230"/>
      <c r="R48" s="230"/>
      <c r="V48" s="230"/>
    </row>
    <row r="49" spans="1:22" x14ac:dyDescent="0.25">
      <c r="A49" s="253" t="s">
        <v>375</v>
      </c>
      <c r="B49" s="450">
        <v>4</v>
      </c>
      <c r="C49" s="276" t="s">
        <v>302</v>
      </c>
      <c r="D49" s="254" t="s">
        <v>376</v>
      </c>
      <c r="E49" s="255">
        <v>3.06</v>
      </c>
      <c r="F49" s="252"/>
      <c r="G49" s="90"/>
      <c r="H49" s="90"/>
      <c r="I49" s="90"/>
      <c r="J49" s="90"/>
      <c r="K49" s="90"/>
      <c r="L49" s="90"/>
      <c r="M49" s="90"/>
      <c r="N49" s="346"/>
      <c r="O49" s="346"/>
      <c r="P49" s="230"/>
      <c r="R49" s="230"/>
      <c r="V49" s="230"/>
    </row>
    <row r="50" spans="1:22" x14ac:dyDescent="0.25">
      <c r="A50" s="253" t="s">
        <v>377</v>
      </c>
      <c r="B50" s="450">
        <v>0</v>
      </c>
      <c r="C50" s="276" t="s">
        <v>302</v>
      </c>
      <c r="D50" s="254" t="s">
        <v>378</v>
      </c>
      <c r="E50" s="255">
        <v>3.97</v>
      </c>
      <c r="F50" s="252"/>
      <c r="G50" s="90"/>
      <c r="H50" s="90"/>
      <c r="I50" s="90"/>
      <c r="J50" s="90"/>
      <c r="K50" s="90"/>
      <c r="L50" s="90"/>
      <c r="M50" s="90"/>
      <c r="N50" s="346"/>
      <c r="O50" s="346"/>
      <c r="P50" s="230"/>
      <c r="R50" s="230"/>
      <c r="V50" s="230"/>
    </row>
    <row r="51" spans="1:22" x14ac:dyDescent="0.25">
      <c r="A51" s="253" t="s">
        <v>379</v>
      </c>
      <c r="B51" s="450">
        <v>3</v>
      </c>
      <c r="C51" s="276" t="s">
        <v>23</v>
      </c>
      <c r="D51" s="254" t="s">
        <v>380</v>
      </c>
      <c r="E51" s="255">
        <v>3.72</v>
      </c>
      <c r="F51" s="252"/>
      <c r="G51" s="90"/>
      <c r="H51" s="90"/>
      <c r="I51" s="90"/>
      <c r="J51" s="90"/>
      <c r="K51" s="90"/>
      <c r="L51" s="90"/>
      <c r="M51" s="90"/>
      <c r="N51" s="346"/>
      <c r="O51" s="346"/>
      <c r="P51" s="230"/>
      <c r="R51" s="230"/>
      <c r="V51" s="230"/>
    </row>
    <row r="52" spans="1:22" x14ac:dyDescent="0.25">
      <c r="A52" s="253" t="s">
        <v>381</v>
      </c>
      <c r="B52" s="450">
        <v>3</v>
      </c>
      <c r="C52" s="276" t="s">
        <v>302</v>
      </c>
      <c r="D52" s="254" t="s">
        <v>382</v>
      </c>
      <c r="E52" s="255">
        <v>3.39</v>
      </c>
      <c r="F52" s="252"/>
      <c r="G52" s="90"/>
      <c r="H52" s="90"/>
      <c r="I52" s="90"/>
      <c r="J52" s="90"/>
      <c r="K52" s="90"/>
      <c r="L52" s="90"/>
      <c r="M52" s="90"/>
      <c r="N52" s="346"/>
      <c r="O52" s="346"/>
      <c r="P52" s="230"/>
      <c r="R52" s="230"/>
      <c r="V52" s="230"/>
    </row>
    <row r="53" spans="1:22" x14ac:dyDescent="0.25">
      <c r="A53" s="253" t="s">
        <v>383</v>
      </c>
      <c r="B53" s="450">
        <v>1</v>
      </c>
      <c r="C53" s="276" t="s">
        <v>21</v>
      </c>
      <c r="D53" s="254" t="s">
        <v>384</v>
      </c>
      <c r="E53" s="255">
        <v>5.0199999999999996</v>
      </c>
      <c r="F53" s="252"/>
      <c r="G53" s="90"/>
      <c r="H53" s="90"/>
      <c r="I53" s="90"/>
      <c r="J53" s="90"/>
      <c r="K53" s="90"/>
      <c r="L53" s="90"/>
      <c r="M53" s="90"/>
      <c r="N53" s="346"/>
      <c r="O53" s="346"/>
      <c r="P53" s="230"/>
      <c r="R53" s="230"/>
      <c r="V53" s="230"/>
    </row>
    <row r="54" spans="1:22" x14ac:dyDescent="0.25">
      <c r="A54" s="253" t="s">
        <v>385</v>
      </c>
      <c r="B54" s="450">
        <v>6</v>
      </c>
      <c r="C54" s="276" t="s">
        <v>309</v>
      </c>
      <c r="D54" s="254" t="s">
        <v>386</v>
      </c>
      <c r="E54" s="255">
        <v>2.68</v>
      </c>
      <c r="F54" s="252"/>
      <c r="G54" s="90"/>
      <c r="H54" s="90"/>
      <c r="I54" s="90"/>
      <c r="J54" s="90"/>
      <c r="K54" s="90"/>
      <c r="L54" s="90"/>
      <c r="M54" s="90"/>
      <c r="N54" s="346"/>
      <c r="O54" s="346"/>
      <c r="P54" s="230"/>
      <c r="R54" s="230"/>
      <c r="V54" s="230"/>
    </row>
    <row r="55" spans="1:22" x14ac:dyDescent="0.25">
      <c r="A55" s="253" t="s">
        <v>544</v>
      </c>
      <c r="B55" s="450">
        <v>8</v>
      </c>
      <c r="C55" s="276" t="s">
        <v>138</v>
      </c>
      <c r="D55" s="254" t="s">
        <v>545</v>
      </c>
      <c r="E55" s="255">
        <v>1.27</v>
      </c>
      <c r="F55" s="252"/>
      <c r="G55" s="90"/>
      <c r="H55" s="90"/>
      <c r="I55" s="90"/>
      <c r="J55" s="90"/>
      <c r="K55" s="90"/>
      <c r="L55" s="90"/>
      <c r="M55" s="90"/>
      <c r="N55" s="346"/>
      <c r="O55" s="346"/>
      <c r="P55" s="230"/>
      <c r="R55" s="230"/>
      <c r="V55" s="230"/>
    </row>
    <row r="56" spans="1:22" x14ac:dyDescent="0.25">
      <c r="A56" s="128" t="s">
        <v>66</v>
      </c>
      <c r="B56" s="449">
        <f>SUM(B47:B55)</f>
        <v>26</v>
      </c>
      <c r="C56" s="275"/>
      <c r="D56" s="248" t="s">
        <v>50</v>
      </c>
      <c r="E56" s="238">
        <f>SUM(E47:E55)</f>
        <v>28.63</v>
      </c>
      <c r="F56" s="238">
        <f>31-E56</f>
        <v>2.370000000000001</v>
      </c>
      <c r="G56" s="90"/>
      <c r="H56" s="90"/>
      <c r="I56" s="90"/>
      <c r="J56" s="90"/>
      <c r="K56" s="90"/>
      <c r="L56" s="90"/>
      <c r="M56" s="90"/>
      <c r="N56" s="502">
        <f>E56/31</f>
        <v>0.92354838709677411</v>
      </c>
      <c r="O56" s="503">
        <v>8</v>
      </c>
      <c r="R56" s="230"/>
    </row>
    <row r="57" spans="1:22" x14ac:dyDescent="0.25">
      <c r="A57" s="253" t="s">
        <v>544</v>
      </c>
      <c r="B57" s="276"/>
      <c r="C57" s="276" t="s">
        <v>138</v>
      </c>
      <c r="D57" s="254" t="s">
        <v>546</v>
      </c>
      <c r="E57" s="252">
        <v>0.05</v>
      </c>
      <c r="F57" s="252"/>
      <c r="G57" s="528"/>
      <c r="H57" s="528"/>
      <c r="I57" s="528"/>
      <c r="J57" s="528"/>
      <c r="K57" s="528"/>
      <c r="L57" s="528"/>
      <c r="M57" s="528"/>
      <c r="N57" s="601"/>
      <c r="O57" s="602"/>
      <c r="R57" s="230"/>
    </row>
    <row r="58" spans="1:22" x14ac:dyDescent="0.25">
      <c r="A58" s="253" t="s">
        <v>391</v>
      </c>
      <c r="B58" s="450">
        <v>6</v>
      </c>
      <c r="C58" s="276" t="s">
        <v>387</v>
      </c>
      <c r="D58" s="254" t="s">
        <v>392</v>
      </c>
      <c r="E58" s="255">
        <v>4.2300000000000004</v>
      </c>
      <c r="F58" s="252"/>
      <c r="G58" s="90"/>
      <c r="H58" s="90"/>
      <c r="I58" s="90"/>
      <c r="J58" s="90"/>
      <c r="K58" s="90"/>
      <c r="L58" s="90"/>
      <c r="M58" s="90"/>
      <c r="N58" s="346"/>
      <c r="O58" s="346"/>
      <c r="R58" s="230"/>
    </row>
    <row r="59" spans="1:22" x14ac:dyDescent="0.25">
      <c r="A59" s="253" t="s">
        <v>393</v>
      </c>
      <c r="B59" s="450">
        <v>1</v>
      </c>
      <c r="C59" s="276" t="s">
        <v>21</v>
      </c>
      <c r="D59" s="254" t="s">
        <v>394</v>
      </c>
      <c r="E59" s="255">
        <v>1.18</v>
      </c>
      <c r="F59" s="252"/>
      <c r="G59" s="90"/>
      <c r="H59" s="90"/>
      <c r="I59" s="90"/>
      <c r="J59" s="90"/>
      <c r="K59" s="90"/>
      <c r="L59" s="90"/>
      <c r="M59" s="90"/>
      <c r="N59" s="346"/>
      <c r="O59" s="346"/>
      <c r="R59" s="230"/>
    </row>
    <row r="60" spans="1:22" x14ac:dyDescent="0.25">
      <c r="A60" s="253" t="s">
        <v>395</v>
      </c>
      <c r="B60" s="450">
        <v>2</v>
      </c>
      <c r="C60" s="276" t="s">
        <v>302</v>
      </c>
      <c r="D60" s="254" t="s">
        <v>396</v>
      </c>
      <c r="E60" s="255">
        <v>5.18</v>
      </c>
      <c r="F60" s="252"/>
      <c r="G60" s="90"/>
      <c r="H60" s="90"/>
      <c r="I60" s="90"/>
      <c r="J60" s="90"/>
      <c r="K60" s="90"/>
      <c r="L60" s="90"/>
      <c r="M60" s="90"/>
      <c r="N60" s="346"/>
      <c r="O60" s="346"/>
      <c r="R60" s="230"/>
    </row>
    <row r="61" spans="1:22" x14ac:dyDescent="0.25">
      <c r="A61" s="253" t="s">
        <v>547</v>
      </c>
      <c r="B61" s="450">
        <v>4</v>
      </c>
      <c r="C61" s="276" t="s">
        <v>138</v>
      </c>
      <c r="D61" s="254" t="s">
        <v>548</v>
      </c>
      <c r="E61" s="255">
        <v>1.56</v>
      </c>
      <c r="F61" s="252"/>
      <c r="G61" s="90"/>
      <c r="H61" s="90"/>
      <c r="I61" s="90"/>
      <c r="J61" s="90"/>
      <c r="K61" s="90"/>
      <c r="L61" s="90"/>
      <c r="M61" s="90"/>
      <c r="N61" s="346"/>
      <c r="O61" s="346"/>
      <c r="R61" s="230"/>
    </row>
    <row r="62" spans="1:22" x14ac:dyDescent="0.25">
      <c r="A62" s="253" t="s">
        <v>397</v>
      </c>
      <c r="B62" s="450">
        <v>5</v>
      </c>
      <c r="C62" s="276" t="s">
        <v>237</v>
      </c>
      <c r="D62" s="254" t="s">
        <v>398</v>
      </c>
      <c r="E62" s="255">
        <v>3.22</v>
      </c>
      <c r="F62" s="252"/>
      <c r="G62" s="90"/>
      <c r="H62" s="90"/>
      <c r="I62" s="90"/>
      <c r="J62" s="90"/>
      <c r="K62" s="90"/>
      <c r="L62" s="90"/>
      <c r="M62" s="90"/>
      <c r="N62" s="346"/>
      <c r="O62" s="346"/>
      <c r="R62" s="230"/>
    </row>
    <row r="63" spans="1:22" x14ac:dyDescent="0.25">
      <c r="A63" s="253" t="s">
        <v>399</v>
      </c>
      <c r="B63" s="450">
        <v>6</v>
      </c>
      <c r="C63" s="276" t="s">
        <v>302</v>
      </c>
      <c r="D63" s="254" t="s">
        <v>400</v>
      </c>
      <c r="E63" s="255">
        <v>3.77</v>
      </c>
      <c r="F63" s="252"/>
      <c r="G63" s="90"/>
      <c r="H63" s="90"/>
      <c r="I63" s="90"/>
      <c r="J63" s="90"/>
      <c r="K63" s="90"/>
      <c r="L63" s="90"/>
      <c r="M63" s="90"/>
      <c r="N63" s="346"/>
      <c r="O63" s="346"/>
      <c r="R63" s="230"/>
    </row>
    <row r="64" spans="1:22" x14ac:dyDescent="0.25">
      <c r="A64" s="253" t="s">
        <v>549</v>
      </c>
      <c r="B64" s="450">
        <v>19</v>
      </c>
      <c r="C64" s="276" t="s">
        <v>138</v>
      </c>
      <c r="D64" s="254" t="s">
        <v>550</v>
      </c>
      <c r="E64" s="255">
        <v>5.34</v>
      </c>
      <c r="F64" s="252"/>
      <c r="G64" s="90"/>
      <c r="H64" s="90"/>
      <c r="I64" s="90"/>
      <c r="J64" s="90"/>
      <c r="K64" s="90"/>
      <c r="L64" s="90"/>
      <c r="M64" s="90"/>
      <c r="N64" s="346"/>
      <c r="O64" s="346"/>
      <c r="R64" s="230"/>
    </row>
    <row r="65" spans="1:18" x14ac:dyDescent="0.25">
      <c r="A65" s="253" t="s">
        <v>401</v>
      </c>
      <c r="B65" s="450">
        <v>0</v>
      </c>
      <c r="C65" s="276" t="s">
        <v>306</v>
      </c>
      <c r="D65" s="254" t="s">
        <v>402</v>
      </c>
      <c r="E65" s="255">
        <v>2.17</v>
      </c>
      <c r="F65" s="252"/>
      <c r="G65" s="90"/>
      <c r="H65" s="90"/>
      <c r="I65" s="90"/>
      <c r="J65" s="90"/>
      <c r="K65" s="90"/>
      <c r="L65" s="90"/>
      <c r="M65" s="90"/>
      <c r="N65" s="346"/>
      <c r="O65" s="346"/>
      <c r="R65" s="230"/>
    </row>
    <row r="66" spans="1:18" x14ac:dyDescent="0.25">
      <c r="A66" s="253" t="s">
        <v>403</v>
      </c>
      <c r="B66" s="450">
        <v>2</v>
      </c>
      <c r="C66" s="276" t="s">
        <v>21</v>
      </c>
      <c r="D66" s="254" t="s">
        <v>404</v>
      </c>
      <c r="E66" s="255">
        <v>1.1299999999999999</v>
      </c>
      <c r="F66" s="252"/>
      <c r="G66" s="90"/>
      <c r="H66" s="90"/>
      <c r="I66" s="90"/>
      <c r="J66" s="90"/>
      <c r="K66" s="90"/>
      <c r="L66" s="90"/>
      <c r="M66" s="90"/>
      <c r="N66" s="346"/>
      <c r="O66" s="346"/>
      <c r="R66" s="230"/>
    </row>
    <row r="67" spans="1:18" x14ac:dyDescent="0.25">
      <c r="A67" s="128" t="s">
        <v>66</v>
      </c>
      <c r="B67" s="449">
        <f>SUM(B58:B66)</f>
        <v>45</v>
      </c>
      <c r="C67" s="275"/>
      <c r="D67" s="248" t="s">
        <v>49</v>
      </c>
      <c r="E67" s="238">
        <f>SUM(E57:E66)</f>
        <v>27.830000000000002</v>
      </c>
      <c r="F67" s="238">
        <f>30-E67</f>
        <v>2.1699999999999982</v>
      </c>
      <c r="G67" s="90"/>
      <c r="H67" s="90"/>
      <c r="I67" s="90"/>
      <c r="J67" s="90"/>
      <c r="K67" s="90"/>
      <c r="L67" s="90"/>
      <c r="M67" s="90"/>
      <c r="N67" s="507">
        <f>E67/30</f>
        <v>0.92766666666666675</v>
      </c>
      <c r="O67" s="508">
        <v>9</v>
      </c>
      <c r="R67" s="230"/>
    </row>
    <row r="68" spans="1:18" x14ac:dyDescent="0.25">
      <c r="A68" s="278" t="s">
        <v>403</v>
      </c>
      <c r="B68" s="450"/>
      <c r="C68" s="276" t="s">
        <v>21</v>
      </c>
      <c r="D68" s="254" t="s">
        <v>406</v>
      </c>
      <c r="E68" s="255">
        <v>4.42</v>
      </c>
      <c r="F68" s="252"/>
      <c r="G68" s="90"/>
      <c r="H68" s="90"/>
      <c r="I68" s="90"/>
      <c r="J68" s="90"/>
      <c r="K68" s="90"/>
      <c r="L68" s="90"/>
      <c r="M68" s="90"/>
      <c r="N68" s="345"/>
      <c r="O68" s="345"/>
      <c r="P68" s="230"/>
      <c r="R68" s="230"/>
    </row>
    <row r="69" spans="1:18" x14ac:dyDescent="0.25">
      <c r="A69" s="278" t="s">
        <v>407</v>
      </c>
      <c r="B69" s="450">
        <v>5</v>
      </c>
      <c r="C69" s="276" t="s">
        <v>302</v>
      </c>
      <c r="D69" s="254" t="s">
        <v>408</v>
      </c>
      <c r="E69" s="255">
        <v>3.34</v>
      </c>
      <c r="F69" s="252"/>
      <c r="G69" s="90"/>
      <c r="H69" s="90"/>
      <c r="I69" s="90"/>
      <c r="J69" s="90"/>
      <c r="K69" s="90"/>
      <c r="L69" s="90"/>
      <c r="M69" s="90"/>
      <c r="N69" s="346"/>
      <c r="O69" s="346"/>
      <c r="P69" s="230"/>
      <c r="R69" s="230"/>
    </row>
    <row r="70" spans="1:18" x14ac:dyDescent="0.25">
      <c r="A70" s="278" t="s">
        <v>409</v>
      </c>
      <c r="B70" s="450">
        <v>2</v>
      </c>
      <c r="C70" s="276" t="s">
        <v>309</v>
      </c>
      <c r="D70" s="254" t="s">
        <v>410</v>
      </c>
      <c r="E70" s="255">
        <v>2.1</v>
      </c>
      <c r="F70" s="252"/>
      <c r="G70" s="90"/>
      <c r="H70" s="90"/>
      <c r="I70" s="90"/>
      <c r="J70" s="90"/>
      <c r="K70" s="90"/>
      <c r="L70" s="90"/>
      <c r="M70" s="90"/>
      <c r="N70" s="346"/>
      <c r="O70" s="346"/>
      <c r="P70" s="230"/>
      <c r="R70" s="230"/>
    </row>
    <row r="71" spans="1:18" x14ac:dyDescent="0.25">
      <c r="A71" s="278" t="s">
        <v>411</v>
      </c>
      <c r="B71" s="450">
        <v>13</v>
      </c>
      <c r="C71" s="276" t="s">
        <v>390</v>
      </c>
      <c r="D71" s="254" t="s">
        <v>412</v>
      </c>
      <c r="E71" s="255">
        <v>1.59</v>
      </c>
      <c r="F71" s="252"/>
      <c r="G71" s="90"/>
      <c r="H71" s="90"/>
      <c r="I71" s="90"/>
      <c r="J71" s="90"/>
      <c r="K71" s="90"/>
      <c r="L71" s="90"/>
      <c r="M71" s="90"/>
      <c r="N71" s="346"/>
      <c r="O71" s="346"/>
      <c r="P71" s="230"/>
      <c r="R71" s="230"/>
    </row>
    <row r="72" spans="1:18" x14ac:dyDescent="0.25">
      <c r="A72" s="278" t="s">
        <v>413</v>
      </c>
      <c r="B72" s="450">
        <v>8</v>
      </c>
      <c r="C72" s="276" t="s">
        <v>302</v>
      </c>
      <c r="D72" s="254" t="s">
        <v>414</v>
      </c>
      <c r="E72" s="255">
        <v>3.88</v>
      </c>
      <c r="F72" s="252"/>
      <c r="G72" s="90"/>
      <c r="H72" s="90"/>
      <c r="I72" s="90"/>
      <c r="J72" s="90"/>
      <c r="K72" s="90"/>
      <c r="L72" s="90"/>
      <c r="M72" s="90"/>
      <c r="N72" s="346"/>
      <c r="O72" s="346"/>
      <c r="P72" s="230"/>
      <c r="R72" s="230"/>
    </row>
    <row r="73" spans="1:18" x14ac:dyDescent="0.25">
      <c r="A73" s="278" t="s">
        <v>415</v>
      </c>
      <c r="B73" s="450">
        <v>3</v>
      </c>
      <c r="C73" s="276" t="s">
        <v>21</v>
      </c>
      <c r="D73" s="254" t="s">
        <v>416</v>
      </c>
      <c r="E73" s="255">
        <v>1.43</v>
      </c>
      <c r="F73" s="252"/>
      <c r="G73" s="90"/>
      <c r="H73" s="90"/>
      <c r="I73" s="90"/>
      <c r="J73" s="90"/>
      <c r="K73" s="90"/>
      <c r="L73" s="90"/>
      <c r="M73" s="90"/>
      <c r="N73" s="346"/>
      <c r="O73" s="346"/>
      <c r="P73" s="230"/>
      <c r="R73" s="230"/>
    </row>
    <row r="74" spans="1:18" x14ac:dyDescent="0.25">
      <c r="A74" s="278" t="s">
        <v>417</v>
      </c>
      <c r="B74" s="450">
        <v>1</v>
      </c>
      <c r="C74" s="276" t="s">
        <v>21</v>
      </c>
      <c r="D74" s="254" t="s">
        <v>418</v>
      </c>
      <c r="E74" s="255">
        <v>3.01</v>
      </c>
      <c r="F74" s="252"/>
      <c r="G74" s="90"/>
      <c r="H74" s="90"/>
      <c r="I74" s="90"/>
      <c r="J74" s="90"/>
      <c r="K74" s="90"/>
      <c r="L74" s="90"/>
      <c r="M74" s="90"/>
      <c r="N74" s="346"/>
      <c r="O74" s="346"/>
      <c r="P74" s="230"/>
      <c r="R74" s="230"/>
    </row>
    <row r="75" spans="1:18" x14ac:dyDescent="0.25">
      <c r="A75" s="278" t="s">
        <v>551</v>
      </c>
      <c r="B75" s="450">
        <v>3</v>
      </c>
      <c r="C75" s="276" t="s">
        <v>138</v>
      </c>
      <c r="D75" s="254" t="s">
        <v>552</v>
      </c>
      <c r="E75" s="255">
        <v>1.23</v>
      </c>
      <c r="F75" s="252"/>
      <c r="G75" s="90"/>
      <c r="H75" s="90"/>
      <c r="I75" s="90"/>
      <c r="J75" s="90"/>
      <c r="K75" s="90"/>
      <c r="L75" s="90"/>
      <c r="M75" s="90"/>
      <c r="N75" s="346"/>
      <c r="O75" s="346"/>
      <c r="P75" s="230"/>
      <c r="R75" s="230"/>
    </row>
    <row r="76" spans="1:18" x14ac:dyDescent="0.25">
      <c r="A76" s="278" t="s">
        <v>553</v>
      </c>
      <c r="B76" s="450">
        <v>3</v>
      </c>
      <c r="C76" s="276" t="s">
        <v>138</v>
      </c>
      <c r="D76" s="254" t="s">
        <v>554</v>
      </c>
      <c r="E76" s="255">
        <v>1.38</v>
      </c>
      <c r="F76" s="252"/>
      <c r="G76" s="90"/>
      <c r="H76" s="90"/>
      <c r="I76" s="90"/>
      <c r="J76" s="90"/>
      <c r="K76" s="90"/>
      <c r="L76" s="90"/>
      <c r="M76" s="90"/>
      <c r="N76" s="346"/>
      <c r="O76" s="346"/>
      <c r="P76" s="230"/>
      <c r="R76" s="230"/>
    </row>
    <row r="77" spans="1:18" x14ac:dyDescent="0.25">
      <c r="A77" s="278" t="s">
        <v>419</v>
      </c>
      <c r="B77" s="450">
        <v>12</v>
      </c>
      <c r="C77" s="276" t="s">
        <v>23</v>
      </c>
      <c r="D77" s="254" t="s">
        <v>420</v>
      </c>
      <c r="E77" s="255">
        <v>3.48</v>
      </c>
      <c r="F77" s="252"/>
      <c r="G77" s="90"/>
      <c r="H77" s="90"/>
      <c r="I77" s="90"/>
      <c r="J77" s="90"/>
      <c r="K77" s="90"/>
      <c r="L77" s="90"/>
      <c r="M77" s="90"/>
      <c r="N77" s="346"/>
      <c r="O77" s="346"/>
      <c r="P77" s="230"/>
      <c r="R77" s="230"/>
    </row>
    <row r="78" spans="1:18" x14ac:dyDescent="0.25">
      <c r="A78" s="278" t="s">
        <v>421</v>
      </c>
      <c r="B78" s="450">
        <v>8</v>
      </c>
      <c r="C78" s="276" t="s">
        <v>302</v>
      </c>
      <c r="D78" s="254" t="s">
        <v>422</v>
      </c>
      <c r="E78" s="255">
        <v>3.59</v>
      </c>
      <c r="F78" s="252"/>
      <c r="G78" s="90"/>
      <c r="H78" s="90"/>
      <c r="I78" s="90"/>
      <c r="J78" s="90"/>
      <c r="K78" s="90"/>
      <c r="L78" s="90"/>
      <c r="M78" s="90"/>
      <c r="N78" s="346"/>
      <c r="O78" s="346"/>
      <c r="P78" s="230"/>
      <c r="R78" s="230"/>
    </row>
    <row r="79" spans="1:18" x14ac:dyDescent="0.25">
      <c r="A79" s="278" t="s">
        <v>423</v>
      </c>
      <c r="B79" s="450">
        <v>5</v>
      </c>
      <c r="C79" s="276" t="s">
        <v>390</v>
      </c>
      <c r="D79" s="254" t="s">
        <v>424</v>
      </c>
      <c r="E79" s="255">
        <v>0.48</v>
      </c>
      <c r="F79" s="252"/>
      <c r="G79" s="90"/>
      <c r="H79" s="90"/>
      <c r="I79" s="90"/>
      <c r="J79" s="90"/>
      <c r="K79" s="90"/>
      <c r="L79" s="90"/>
      <c r="M79" s="90"/>
      <c r="N79" s="346"/>
      <c r="O79" s="346"/>
      <c r="P79" s="230"/>
      <c r="R79" s="230"/>
    </row>
    <row r="80" spans="1:18" x14ac:dyDescent="0.25">
      <c r="A80" s="128" t="s">
        <v>66</v>
      </c>
      <c r="B80" s="449">
        <f>SUM(B68:B79)</f>
        <v>63</v>
      </c>
      <c r="C80" s="275"/>
      <c r="D80" s="248" t="s">
        <v>32</v>
      </c>
      <c r="E80" s="238">
        <f>SUM(E68:E79)</f>
        <v>29.929999999999996</v>
      </c>
      <c r="F80" s="238">
        <f>31-E80</f>
        <v>1.0700000000000038</v>
      </c>
      <c r="G80" s="90"/>
      <c r="H80" s="90"/>
      <c r="I80" s="90"/>
      <c r="J80" s="90"/>
      <c r="K80" s="90"/>
      <c r="L80" s="90"/>
      <c r="M80" s="90"/>
      <c r="N80" s="507">
        <f>E80/31</f>
        <v>0.9654838709677418</v>
      </c>
      <c r="O80" s="503">
        <v>11</v>
      </c>
      <c r="R80" s="230"/>
    </row>
    <row r="81" spans="1:21" x14ac:dyDescent="0.25">
      <c r="A81" s="253" t="s">
        <v>423</v>
      </c>
      <c r="B81" s="450"/>
      <c r="C81" s="253" t="s">
        <v>390</v>
      </c>
      <c r="D81" s="254" t="s">
        <v>428</v>
      </c>
      <c r="E81" s="255">
        <v>3.02</v>
      </c>
      <c r="F81" s="252"/>
      <c r="G81" s="90"/>
      <c r="H81" s="90"/>
      <c r="I81" s="90"/>
      <c r="J81" s="90"/>
      <c r="K81" s="90"/>
      <c r="L81" s="90"/>
      <c r="M81" s="90"/>
      <c r="N81" s="345"/>
      <c r="O81" s="345"/>
      <c r="P81" s="230" t="s">
        <v>12</v>
      </c>
      <c r="R81" s="230"/>
    </row>
    <row r="82" spans="1:21" x14ac:dyDescent="0.25">
      <c r="A82" s="300" t="s">
        <v>555</v>
      </c>
      <c r="B82" s="451">
        <v>3</v>
      </c>
      <c r="C82" s="301" t="s">
        <v>138</v>
      </c>
      <c r="D82" s="254" t="s">
        <v>556</v>
      </c>
      <c r="E82" s="255">
        <v>2.39</v>
      </c>
      <c r="F82" s="252"/>
      <c r="G82" s="90"/>
      <c r="H82" s="90"/>
      <c r="I82" s="90"/>
      <c r="J82" s="90"/>
      <c r="K82" s="90"/>
      <c r="L82" s="90"/>
      <c r="M82" s="90"/>
      <c r="N82" s="346"/>
      <c r="O82" s="346"/>
      <c r="P82" s="230"/>
      <c r="R82" s="230"/>
    </row>
    <row r="83" spans="1:21" x14ac:dyDescent="0.25">
      <c r="A83" s="253" t="s">
        <v>429</v>
      </c>
      <c r="B83" s="450">
        <v>3</v>
      </c>
      <c r="C83" s="276" t="s">
        <v>302</v>
      </c>
      <c r="D83" s="254" t="s">
        <v>430</v>
      </c>
      <c r="E83" s="255">
        <v>4.47</v>
      </c>
      <c r="F83" s="252"/>
      <c r="G83" s="90"/>
      <c r="H83" s="90"/>
      <c r="I83" s="90"/>
      <c r="J83" s="90"/>
      <c r="K83" s="90"/>
      <c r="L83" s="90"/>
      <c r="M83" s="90"/>
      <c r="N83" s="346"/>
      <c r="O83" s="346"/>
      <c r="Q83" s="230" t="s">
        <v>12</v>
      </c>
      <c r="R83" s="230" t="s">
        <v>12</v>
      </c>
    </row>
    <row r="84" spans="1:21" x14ac:dyDescent="0.25">
      <c r="A84" s="253" t="s">
        <v>431</v>
      </c>
      <c r="B84" s="450">
        <v>4</v>
      </c>
      <c r="C84" s="276" t="s">
        <v>21</v>
      </c>
      <c r="D84" s="254" t="s">
        <v>432</v>
      </c>
      <c r="E84" s="255">
        <v>3.83</v>
      </c>
      <c r="F84" s="252"/>
      <c r="G84" s="90"/>
      <c r="H84" s="90"/>
      <c r="I84" s="90"/>
      <c r="J84" s="90"/>
      <c r="K84" s="90"/>
      <c r="L84" s="90"/>
      <c r="M84" s="90"/>
      <c r="N84" s="346"/>
      <c r="O84" s="346"/>
      <c r="Q84" s="230"/>
      <c r="R84" s="230"/>
    </row>
    <row r="85" spans="1:21" x14ac:dyDescent="0.25">
      <c r="A85" s="253" t="s">
        <v>433</v>
      </c>
      <c r="B85" s="450">
        <v>6</v>
      </c>
      <c r="C85" s="276" t="s">
        <v>21</v>
      </c>
      <c r="D85" s="254" t="s">
        <v>434</v>
      </c>
      <c r="E85" s="255">
        <v>2.4700000000000002</v>
      </c>
      <c r="F85" s="252"/>
      <c r="G85" s="90"/>
      <c r="H85" s="90"/>
      <c r="I85" s="90"/>
      <c r="J85" s="90"/>
      <c r="K85" s="90"/>
      <c r="L85" s="90"/>
      <c r="M85" s="90"/>
      <c r="N85" s="346"/>
      <c r="O85" s="346"/>
      <c r="Q85" s="230"/>
      <c r="R85" s="230"/>
    </row>
    <row r="86" spans="1:21" x14ac:dyDescent="0.25">
      <c r="A86" s="253" t="s">
        <v>435</v>
      </c>
      <c r="B86" s="450">
        <v>11</v>
      </c>
      <c r="C86" s="276" t="s">
        <v>302</v>
      </c>
      <c r="D86" s="254" t="s">
        <v>436</v>
      </c>
      <c r="E86" s="255">
        <v>2.77</v>
      </c>
      <c r="F86" s="252"/>
      <c r="G86" s="90"/>
      <c r="H86" s="90"/>
      <c r="I86" s="90"/>
      <c r="J86" s="90"/>
      <c r="K86" s="90"/>
      <c r="L86" s="90"/>
      <c r="M86" s="90"/>
      <c r="N86" s="346"/>
      <c r="O86" s="346"/>
      <c r="Q86" s="230"/>
      <c r="R86" s="230"/>
    </row>
    <row r="87" spans="1:21" x14ac:dyDescent="0.25">
      <c r="A87" s="253" t="s">
        <v>437</v>
      </c>
      <c r="B87" s="450">
        <v>5</v>
      </c>
      <c r="C87" s="276" t="s">
        <v>302</v>
      </c>
      <c r="D87" s="254" t="s">
        <v>438</v>
      </c>
      <c r="E87" s="255">
        <v>5.92</v>
      </c>
      <c r="F87" s="252"/>
      <c r="G87" s="90"/>
      <c r="H87" s="90"/>
      <c r="I87" s="90"/>
      <c r="J87" s="90"/>
      <c r="K87" s="90"/>
      <c r="L87" s="90"/>
      <c r="M87" s="90"/>
      <c r="N87" s="346"/>
      <c r="O87" s="346"/>
      <c r="Q87" s="230"/>
      <c r="R87" s="230"/>
    </row>
    <row r="88" spans="1:21" x14ac:dyDescent="0.25">
      <c r="A88" s="253" t="s">
        <v>439</v>
      </c>
      <c r="B88" s="450">
        <v>18</v>
      </c>
      <c r="C88" s="276" t="s">
        <v>22</v>
      </c>
      <c r="D88" s="254" t="s">
        <v>440</v>
      </c>
      <c r="E88" s="255">
        <v>2.23</v>
      </c>
      <c r="F88" s="252"/>
      <c r="G88" s="90"/>
      <c r="H88" s="90"/>
      <c r="I88" s="90"/>
      <c r="J88" s="90"/>
      <c r="K88" s="90"/>
      <c r="L88" s="90"/>
      <c r="M88" s="90"/>
      <c r="N88" s="346"/>
      <c r="O88" s="346"/>
      <c r="Q88" s="230"/>
      <c r="R88" s="230"/>
    </row>
    <row r="89" spans="1:21" x14ac:dyDescent="0.25">
      <c r="A89" s="128" t="s">
        <v>66</v>
      </c>
      <c r="B89" s="449">
        <f>SUM(B81:B88)</f>
        <v>50</v>
      </c>
      <c r="C89" s="275"/>
      <c r="D89" s="248" t="s">
        <v>33</v>
      </c>
      <c r="E89" s="238">
        <f>SUM(E81:E88)</f>
        <v>27.099999999999998</v>
      </c>
      <c r="F89" s="238">
        <f>31-E89</f>
        <v>3.9000000000000021</v>
      </c>
      <c r="G89" s="90"/>
      <c r="H89" s="90"/>
      <c r="I89" s="90"/>
      <c r="J89" s="90"/>
      <c r="K89" s="90"/>
      <c r="L89" s="90"/>
      <c r="M89" s="90"/>
      <c r="N89" s="507">
        <f>E89/31</f>
        <v>0.87419354838709673</v>
      </c>
      <c r="O89" s="503">
        <v>7</v>
      </c>
      <c r="Q89" s="263"/>
      <c r="R89" s="230"/>
      <c r="S89" s="259" t="s">
        <v>12</v>
      </c>
      <c r="T89" s="230" t="s">
        <v>12</v>
      </c>
    </row>
    <row r="90" spans="1:21" x14ac:dyDescent="0.25">
      <c r="A90" s="253" t="s">
        <v>439</v>
      </c>
      <c r="B90" s="450"/>
      <c r="C90" s="276" t="s">
        <v>22</v>
      </c>
      <c r="D90" s="254" t="s">
        <v>442</v>
      </c>
      <c r="E90" s="255">
        <v>1.56</v>
      </c>
      <c r="F90" s="252"/>
      <c r="G90" s="90"/>
      <c r="H90" s="90"/>
      <c r="I90" s="90"/>
      <c r="J90" s="90"/>
      <c r="K90" s="90"/>
      <c r="L90" s="90"/>
      <c r="M90" s="90"/>
      <c r="N90" s="345"/>
      <c r="O90" s="345"/>
      <c r="R90" s="230"/>
      <c r="T90" s="230"/>
      <c r="U90" s="230" t="s">
        <v>12</v>
      </c>
    </row>
    <row r="91" spans="1:21" x14ac:dyDescent="0.25">
      <c r="A91" s="253" t="s">
        <v>557</v>
      </c>
      <c r="B91" s="450">
        <v>7</v>
      </c>
      <c r="C91" s="276" t="s">
        <v>138</v>
      </c>
      <c r="D91" s="254" t="s">
        <v>558</v>
      </c>
      <c r="E91" s="255">
        <v>1.27</v>
      </c>
      <c r="F91" s="252"/>
      <c r="G91" s="90"/>
      <c r="H91" s="90"/>
      <c r="I91" s="90"/>
      <c r="J91" s="90"/>
      <c r="K91" s="90"/>
      <c r="L91" s="90"/>
      <c r="M91" s="90"/>
      <c r="N91" s="346"/>
      <c r="O91" s="346"/>
      <c r="R91" s="230"/>
      <c r="T91" s="230"/>
      <c r="U91" s="230"/>
    </row>
    <row r="92" spans="1:21" x14ac:dyDescent="0.25">
      <c r="A92" s="253" t="s">
        <v>443</v>
      </c>
      <c r="B92" s="450">
        <v>5</v>
      </c>
      <c r="C92" s="276" t="s">
        <v>21</v>
      </c>
      <c r="D92" s="254" t="s">
        <v>444</v>
      </c>
      <c r="E92" s="255">
        <v>3.44</v>
      </c>
      <c r="F92" s="252"/>
      <c r="G92" s="90"/>
      <c r="H92" s="90"/>
      <c r="I92" s="90"/>
      <c r="J92" s="90"/>
      <c r="K92" s="90"/>
      <c r="L92" s="90"/>
      <c r="M92" s="90"/>
      <c r="N92" s="346"/>
      <c r="O92" s="346"/>
      <c r="R92" s="230"/>
      <c r="T92" s="230"/>
      <c r="U92" s="230"/>
    </row>
    <row r="93" spans="1:21" x14ac:dyDescent="0.25">
      <c r="A93" s="253" t="s">
        <v>445</v>
      </c>
      <c r="B93" s="450">
        <v>1</v>
      </c>
      <c r="C93" s="276" t="s">
        <v>353</v>
      </c>
      <c r="D93" s="254" t="s">
        <v>446</v>
      </c>
      <c r="E93" s="255">
        <v>4.68</v>
      </c>
      <c r="F93" s="252"/>
      <c r="G93" s="90"/>
      <c r="H93" s="90"/>
      <c r="I93" s="90"/>
      <c r="J93" s="90"/>
      <c r="K93" s="90"/>
      <c r="L93" s="90"/>
      <c r="M93" s="90"/>
      <c r="N93" s="346"/>
      <c r="O93" s="346"/>
      <c r="R93" s="230"/>
      <c r="T93" s="230"/>
      <c r="U93" s="230"/>
    </row>
    <row r="94" spans="1:21" x14ac:dyDescent="0.25">
      <c r="A94" s="253" t="s">
        <v>559</v>
      </c>
      <c r="B94" s="450">
        <v>4</v>
      </c>
      <c r="C94" s="276" t="s">
        <v>138</v>
      </c>
      <c r="D94" s="254" t="s">
        <v>560</v>
      </c>
      <c r="E94" s="255">
        <v>2.35</v>
      </c>
      <c r="F94" s="252"/>
      <c r="G94" s="90"/>
      <c r="H94" s="90"/>
      <c r="I94" s="90"/>
      <c r="J94" s="90"/>
      <c r="K94" s="90"/>
      <c r="L94" s="90"/>
      <c r="M94" s="90"/>
      <c r="N94" s="346"/>
      <c r="O94" s="346"/>
      <c r="R94" s="230"/>
      <c r="T94" s="230"/>
      <c r="U94" s="230"/>
    </row>
    <row r="95" spans="1:21" x14ac:dyDescent="0.25">
      <c r="A95" s="253" t="s">
        <v>561</v>
      </c>
      <c r="B95" s="450">
        <v>20</v>
      </c>
      <c r="C95" s="276" t="s">
        <v>138</v>
      </c>
      <c r="D95" s="254" t="s">
        <v>562</v>
      </c>
      <c r="E95" s="255">
        <v>4.7300000000000004</v>
      </c>
      <c r="F95" s="252"/>
      <c r="G95" s="90"/>
      <c r="H95" s="90"/>
      <c r="I95" s="90"/>
      <c r="J95" s="90"/>
      <c r="K95" s="90"/>
      <c r="L95" s="90"/>
      <c r="M95" s="90"/>
      <c r="N95" s="346"/>
      <c r="O95" s="346"/>
      <c r="R95" s="230"/>
      <c r="T95" s="230"/>
      <c r="U95" s="230"/>
    </row>
    <row r="96" spans="1:21" x14ac:dyDescent="0.25">
      <c r="A96" s="253" t="s">
        <v>447</v>
      </c>
      <c r="B96" s="450">
        <v>0</v>
      </c>
      <c r="C96" s="276" t="s">
        <v>302</v>
      </c>
      <c r="D96" s="254" t="s">
        <v>448</v>
      </c>
      <c r="E96" s="255">
        <v>3.85</v>
      </c>
      <c r="F96" s="252"/>
      <c r="G96" s="90"/>
      <c r="H96" s="90"/>
      <c r="I96" s="90"/>
      <c r="J96" s="90"/>
      <c r="K96" s="90"/>
      <c r="L96" s="90"/>
      <c r="M96" s="90"/>
      <c r="N96" s="346"/>
      <c r="O96" s="346"/>
      <c r="R96" s="230"/>
      <c r="T96" s="230"/>
      <c r="U96" s="230"/>
    </row>
    <row r="97" spans="1:21" x14ac:dyDescent="0.25">
      <c r="A97" s="253" t="s">
        <v>449</v>
      </c>
      <c r="B97" s="450">
        <v>6</v>
      </c>
      <c r="C97" s="276" t="s">
        <v>23</v>
      </c>
      <c r="D97" s="254" t="s">
        <v>450</v>
      </c>
      <c r="E97" s="255">
        <v>4.6399999999999997</v>
      </c>
      <c r="F97" s="252"/>
      <c r="G97" s="90"/>
      <c r="H97" s="90"/>
      <c r="I97" s="90"/>
      <c r="J97" s="90"/>
      <c r="K97" s="90"/>
      <c r="L97" s="90"/>
      <c r="M97" s="90"/>
      <c r="N97" s="346"/>
      <c r="O97" s="346"/>
      <c r="R97" s="230"/>
      <c r="T97" s="230"/>
      <c r="U97" s="230"/>
    </row>
    <row r="98" spans="1:21" x14ac:dyDescent="0.25">
      <c r="A98" s="128" t="s">
        <v>66</v>
      </c>
      <c r="B98" s="449">
        <f>SUM(B90:B97)</f>
        <v>43</v>
      </c>
      <c r="C98" s="275"/>
      <c r="D98" s="248" t="s">
        <v>34</v>
      </c>
      <c r="E98" s="238">
        <f>SUM(E90:E97)</f>
        <v>26.520000000000003</v>
      </c>
      <c r="F98" s="238">
        <f>30-E98</f>
        <v>3.4799999999999969</v>
      </c>
      <c r="G98" s="90"/>
      <c r="H98" s="90"/>
      <c r="I98" s="90"/>
      <c r="J98" s="90"/>
      <c r="K98" s="90"/>
      <c r="L98" s="90"/>
      <c r="M98" s="90"/>
      <c r="N98" s="507">
        <f>E98/30</f>
        <v>0.88400000000000012</v>
      </c>
      <c r="O98" s="503">
        <v>8</v>
      </c>
      <c r="R98" s="230"/>
      <c r="T98" s="230"/>
    </row>
    <row r="99" spans="1:21" x14ac:dyDescent="0.25">
      <c r="A99" s="253" t="s">
        <v>458</v>
      </c>
      <c r="B99" s="450">
        <v>10</v>
      </c>
      <c r="C99" s="276" t="s">
        <v>302</v>
      </c>
      <c r="D99" s="254" t="s">
        <v>459</v>
      </c>
      <c r="E99" s="255">
        <v>4.51</v>
      </c>
      <c r="F99" s="252"/>
      <c r="G99" s="90"/>
      <c r="H99" s="90"/>
      <c r="I99" s="90"/>
      <c r="J99" s="90"/>
      <c r="K99" s="90"/>
      <c r="L99" s="90"/>
      <c r="M99" s="90"/>
      <c r="N99" s="345"/>
      <c r="O99" s="345"/>
      <c r="P99" s="263"/>
      <c r="R99" s="230"/>
      <c r="T99" s="230"/>
    </row>
    <row r="100" spans="1:21" x14ac:dyDescent="0.25">
      <c r="A100" s="253" t="s">
        <v>563</v>
      </c>
      <c r="B100" s="450">
        <v>13</v>
      </c>
      <c r="C100" s="276" t="s">
        <v>138</v>
      </c>
      <c r="D100" s="254" t="s">
        <v>564</v>
      </c>
      <c r="E100" s="255">
        <v>1.83</v>
      </c>
      <c r="F100" s="252"/>
      <c r="G100" s="90"/>
      <c r="H100" s="90"/>
      <c r="I100" s="90"/>
      <c r="J100" s="90"/>
      <c r="K100" s="90"/>
      <c r="L100" s="90"/>
      <c r="M100" s="90"/>
      <c r="N100" s="346"/>
      <c r="O100" s="346"/>
      <c r="P100" s="263"/>
      <c r="R100" s="230"/>
      <c r="T100" s="230"/>
    </row>
    <row r="101" spans="1:21" x14ac:dyDescent="0.25">
      <c r="A101" s="253" t="s">
        <v>460</v>
      </c>
      <c r="B101" s="450">
        <v>16</v>
      </c>
      <c r="C101" s="276" t="s">
        <v>21</v>
      </c>
      <c r="D101" s="254" t="s">
        <v>461</v>
      </c>
      <c r="E101" s="255">
        <v>4.47</v>
      </c>
      <c r="F101" s="252"/>
      <c r="G101" s="90"/>
      <c r="H101" s="90"/>
      <c r="I101" s="90"/>
      <c r="J101" s="90"/>
      <c r="K101" s="90"/>
      <c r="L101" s="90"/>
      <c r="M101" s="90"/>
      <c r="N101" s="346"/>
      <c r="O101" s="346"/>
      <c r="P101" s="263"/>
      <c r="R101" s="230"/>
      <c r="T101" s="230"/>
    </row>
    <row r="102" spans="1:21" x14ac:dyDescent="0.25">
      <c r="A102" s="253" t="s">
        <v>565</v>
      </c>
      <c r="B102" s="450">
        <v>26</v>
      </c>
      <c r="C102" s="276" t="s">
        <v>138</v>
      </c>
      <c r="D102" s="254" t="s">
        <v>566</v>
      </c>
      <c r="E102" s="255">
        <v>1.75</v>
      </c>
      <c r="F102" s="252"/>
      <c r="G102" s="90"/>
      <c r="H102" s="90"/>
      <c r="I102" s="90"/>
      <c r="J102" s="90"/>
      <c r="K102" s="90"/>
      <c r="L102" s="90"/>
      <c r="M102" s="90"/>
      <c r="N102" s="346"/>
      <c r="O102" s="346"/>
      <c r="P102" s="263"/>
      <c r="R102" s="230"/>
      <c r="T102" s="230"/>
    </row>
    <row r="103" spans="1:21" x14ac:dyDescent="0.25">
      <c r="A103" s="253" t="s">
        <v>462</v>
      </c>
      <c r="B103" s="450">
        <v>11</v>
      </c>
      <c r="C103" s="276" t="s">
        <v>21</v>
      </c>
      <c r="D103" s="254" t="s">
        <v>463</v>
      </c>
      <c r="E103" s="255">
        <v>1.52</v>
      </c>
      <c r="F103" s="252"/>
      <c r="G103" s="90"/>
      <c r="H103" s="90"/>
      <c r="I103" s="90"/>
      <c r="J103" s="90"/>
      <c r="K103" s="90"/>
      <c r="L103" s="90"/>
      <c r="M103" s="90"/>
      <c r="N103" s="346"/>
      <c r="O103" s="346"/>
      <c r="P103" s="263"/>
      <c r="R103" s="230"/>
      <c r="T103" s="230"/>
    </row>
    <row r="104" spans="1:21" x14ac:dyDescent="0.25">
      <c r="A104" s="253" t="s">
        <v>464</v>
      </c>
      <c r="B104" s="450">
        <v>1</v>
      </c>
      <c r="C104" s="276" t="s">
        <v>302</v>
      </c>
      <c r="D104" s="254" t="s">
        <v>465</v>
      </c>
      <c r="E104" s="255">
        <v>2.69</v>
      </c>
      <c r="F104" s="252"/>
      <c r="G104" s="90"/>
      <c r="H104" s="90"/>
      <c r="I104" s="90"/>
      <c r="J104" s="90"/>
      <c r="K104" s="90"/>
      <c r="L104" s="90"/>
      <c r="M104" s="90"/>
      <c r="N104" s="346"/>
      <c r="O104" s="346"/>
      <c r="P104" s="263"/>
      <c r="R104" s="230"/>
      <c r="T104" s="230"/>
    </row>
    <row r="105" spans="1:21" x14ac:dyDescent="0.25">
      <c r="A105" s="253" t="s">
        <v>567</v>
      </c>
      <c r="B105" s="450">
        <v>9</v>
      </c>
      <c r="C105" s="276" t="s">
        <v>138</v>
      </c>
      <c r="D105" s="254" t="s">
        <v>568</v>
      </c>
      <c r="E105" s="255">
        <v>2.4</v>
      </c>
      <c r="F105" s="252"/>
      <c r="G105" s="90"/>
      <c r="H105" s="90"/>
      <c r="I105" s="90"/>
      <c r="J105" s="90"/>
      <c r="K105" s="90"/>
      <c r="L105" s="90"/>
      <c r="M105" s="90"/>
      <c r="N105" s="346"/>
      <c r="O105" s="346"/>
      <c r="P105" s="263"/>
      <c r="R105" s="230"/>
      <c r="T105" s="230"/>
    </row>
    <row r="106" spans="1:21" x14ac:dyDescent="0.25">
      <c r="A106" s="253" t="s">
        <v>466</v>
      </c>
      <c r="B106" s="450">
        <v>7</v>
      </c>
      <c r="C106" s="276" t="s">
        <v>302</v>
      </c>
      <c r="D106" s="254" t="s">
        <v>467</v>
      </c>
      <c r="E106" s="255">
        <v>3.68</v>
      </c>
      <c r="F106" s="252"/>
      <c r="G106" s="90"/>
      <c r="H106" s="90"/>
      <c r="I106" s="90"/>
      <c r="J106" s="90"/>
      <c r="K106" s="90"/>
      <c r="L106" s="90"/>
      <c r="M106" s="90"/>
      <c r="N106" s="346"/>
      <c r="O106" s="346"/>
      <c r="R106" s="230"/>
      <c r="T106" s="230"/>
    </row>
    <row r="107" spans="1:21" x14ac:dyDescent="0.25">
      <c r="A107" s="128" t="s">
        <v>66</v>
      </c>
      <c r="B107" s="449">
        <f>SUM(B99:B106)</f>
        <v>93</v>
      </c>
      <c r="C107" s="275"/>
      <c r="D107" s="248" t="s">
        <v>35</v>
      </c>
      <c r="E107" s="238">
        <f>SUM(E99:E106)</f>
        <v>22.849999999999998</v>
      </c>
      <c r="F107" s="238">
        <f>31-E107</f>
        <v>8.1500000000000021</v>
      </c>
      <c r="G107" s="90"/>
      <c r="H107" s="90"/>
      <c r="I107" s="90"/>
      <c r="J107" s="90"/>
      <c r="K107" s="90"/>
      <c r="L107" s="90"/>
      <c r="M107" s="90"/>
      <c r="N107" s="507">
        <f>E107/31</f>
        <v>0.73709677419354835</v>
      </c>
      <c r="O107" s="503">
        <v>7</v>
      </c>
      <c r="P107" s="263"/>
      <c r="R107" s="230"/>
      <c r="T107" s="230"/>
    </row>
    <row r="108" spans="1:21" x14ac:dyDescent="0.25">
      <c r="A108" s="253" t="s">
        <v>466</v>
      </c>
      <c r="B108" s="452"/>
      <c r="C108" s="253" t="s">
        <v>302</v>
      </c>
      <c r="D108" s="254" t="s">
        <v>493</v>
      </c>
      <c r="E108" s="255">
        <v>1.1299999999999999</v>
      </c>
      <c r="F108" s="252"/>
      <c r="G108" s="90"/>
      <c r="H108" s="90"/>
      <c r="I108" s="90"/>
      <c r="J108" s="90"/>
      <c r="K108" s="90"/>
      <c r="L108" s="90"/>
      <c r="M108" s="90"/>
      <c r="N108" s="345"/>
      <c r="O108" s="345"/>
      <c r="R108" s="230"/>
      <c r="T108" s="230"/>
    </row>
    <row r="109" spans="1:21" x14ac:dyDescent="0.25">
      <c r="A109" s="735" t="s">
        <v>718</v>
      </c>
      <c r="B109" s="452"/>
      <c r="C109" s="253"/>
      <c r="D109" s="254"/>
      <c r="E109" s="255"/>
      <c r="F109" s="252"/>
      <c r="G109" s="90"/>
      <c r="H109" s="90"/>
      <c r="I109" s="90"/>
      <c r="J109" s="90"/>
      <c r="K109" s="90"/>
      <c r="L109" s="90"/>
      <c r="M109" s="90"/>
      <c r="N109" s="346"/>
      <c r="O109" s="346"/>
      <c r="R109" s="230"/>
      <c r="T109" s="230"/>
    </row>
    <row r="110" spans="1:21" x14ac:dyDescent="0.25">
      <c r="A110" s="253" t="s">
        <v>494</v>
      </c>
      <c r="B110" s="452">
        <v>17</v>
      </c>
      <c r="C110" s="253" t="s">
        <v>21</v>
      </c>
      <c r="D110" s="254" t="s">
        <v>495</v>
      </c>
      <c r="E110" s="255">
        <v>2.2999999999999998</v>
      </c>
      <c r="F110" s="252"/>
      <c r="G110" s="90"/>
      <c r="H110" s="90"/>
      <c r="I110" s="90"/>
      <c r="J110" s="90"/>
      <c r="K110" s="90"/>
      <c r="L110" s="90"/>
      <c r="M110" s="90"/>
      <c r="N110" s="346"/>
      <c r="O110" s="346"/>
      <c r="R110" s="230"/>
      <c r="T110" s="230"/>
    </row>
    <row r="111" spans="1:21" x14ac:dyDescent="0.25">
      <c r="A111" s="253" t="s">
        <v>496</v>
      </c>
      <c r="B111" s="452">
        <v>19</v>
      </c>
      <c r="C111" s="253" t="s">
        <v>138</v>
      </c>
      <c r="D111" s="254" t="s">
        <v>497</v>
      </c>
      <c r="E111" s="255">
        <v>1.44</v>
      </c>
      <c r="F111" s="252"/>
      <c r="G111" s="90"/>
      <c r="H111" s="90"/>
      <c r="I111" s="90"/>
      <c r="J111" s="90"/>
      <c r="K111" s="90"/>
      <c r="L111" s="90"/>
      <c r="M111" s="90"/>
      <c r="O111" s="346"/>
      <c r="Q111" s="230" t="s">
        <v>12</v>
      </c>
      <c r="R111" s="230"/>
      <c r="T111" s="230"/>
    </row>
    <row r="112" spans="1:21" x14ac:dyDescent="0.25">
      <c r="A112" s="253" t="s">
        <v>498</v>
      </c>
      <c r="B112" s="452">
        <v>12</v>
      </c>
      <c r="C112" s="253" t="s">
        <v>302</v>
      </c>
      <c r="D112" s="254" t="s">
        <v>499</v>
      </c>
      <c r="E112" s="255">
        <v>2.89</v>
      </c>
      <c r="F112" s="252"/>
      <c r="G112" s="90"/>
      <c r="H112" s="90"/>
      <c r="I112" s="90"/>
      <c r="J112" s="90"/>
      <c r="K112" s="90"/>
      <c r="L112" s="90"/>
      <c r="M112" s="90"/>
      <c r="O112" s="346"/>
      <c r="Q112" s="230"/>
      <c r="R112" s="230"/>
      <c r="T112" s="230"/>
    </row>
    <row r="113" spans="1:20" x14ac:dyDescent="0.25">
      <c r="A113" s="253" t="s">
        <v>500</v>
      </c>
      <c r="B113" s="452">
        <v>8</v>
      </c>
      <c r="C113" s="253" t="s">
        <v>21</v>
      </c>
      <c r="D113" s="254" t="s">
        <v>501</v>
      </c>
      <c r="E113" s="255">
        <v>1.47</v>
      </c>
      <c r="F113" s="252"/>
      <c r="G113" s="90"/>
      <c r="H113" s="90"/>
      <c r="I113" s="90"/>
      <c r="J113" s="90"/>
      <c r="K113" s="90"/>
      <c r="L113" s="90"/>
      <c r="M113" s="90"/>
      <c r="O113" s="346"/>
      <c r="Q113" s="230"/>
      <c r="R113" s="230"/>
      <c r="T113" s="230"/>
    </row>
    <row r="114" spans="1:20" x14ac:dyDescent="0.25">
      <c r="A114" s="253" t="s">
        <v>502</v>
      </c>
      <c r="B114" s="452">
        <v>14</v>
      </c>
      <c r="C114" s="253" t="s">
        <v>22</v>
      </c>
      <c r="D114" s="254" t="s">
        <v>503</v>
      </c>
      <c r="E114" s="255">
        <v>2.84</v>
      </c>
      <c r="F114" s="252"/>
      <c r="G114" s="90"/>
      <c r="H114" s="90"/>
      <c r="I114" s="90"/>
      <c r="J114" s="90"/>
      <c r="K114" s="90"/>
      <c r="L114" s="90"/>
      <c r="M114" s="90"/>
      <c r="O114" s="346"/>
      <c r="Q114" s="230"/>
      <c r="R114" s="230"/>
      <c r="T114" s="230"/>
    </row>
    <row r="115" spans="1:20" x14ac:dyDescent="0.25">
      <c r="A115" s="253" t="s">
        <v>504</v>
      </c>
      <c r="B115" s="452">
        <v>1</v>
      </c>
      <c r="C115" s="253" t="s">
        <v>138</v>
      </c>
      <c r="D115" s="254" t="s">
        <v>507</v>
      </c>
      <c r="E115" s="255">
        <v>1.39</v>
      </c>
      <c r="F115" s="252"/>
      <c r="G115" s="90"/>
      <c r="H115" s="90"/>
      <c r="I115" s="90"/>
      <c r="J115" s="90"/>
      <c r="K115" s="90"/>
      <c r="L115" s="90"/>
      <c r="M115" s="90"/>
      <c r="O115" s="346"/>
      <c r="Q115" s="230"/>
      <c r="R115" s="230"/>
      <c r="T115" s="230"/>
    </row>
    <row r="116" spans="1:20" x14ac:dyDescent="0.25">
      <c r="A116" s="253" t="s">
        <v>505</v>
      </c>
      <c r="B116" s="452">
        <v>14</v>
      </c>
      <c r="C116" s="253" t="s">
        <v>138</v>
      </c>
      <c r="D116" s="254" t="s">
        <v>506</v>
      </c>
      <c r="E116" s="255">
        <v>3.59</v>
      </c>
      <c r="F116" s="252"/>
      <c r="G116" s="90"/>
      <c r="H116" s="90"/>
      <c r="I116" s="90"/>
      <c r="J116" s="90"/>
      <c r="K116" s="90"/>
      <c r="L116" s="90"/>
      <c r="M116" s="90"/>
      <c r="O116" s="346"/>
      <c r="Q116" s="230"/>
      <c r="R116" s="230"/>
      <c r="T116" s="230"/>
    </row>
    <row r="117" spans="1:20" x14ac:dyDescent="0.25">
      <c r="A117" s="253" t="s">
        <v>508</v>
      </c>
      <c r="B117" s="452">
        <v>38</v>
      </c>
      <c r="C117" s="253" t="s">
        <v>21</v>
      </c>
      <c r="D117" s="254" t="s">
        <v>509</v>
      </c>
      <c r="E117" s="255">
        <v>1.83</v>
      </c>
      <c r="F117" s="252"/>
      <c r="G117" s="90"/>
      <c r="H117" s="90"/>
      <c r="I117" s="90"/>
      <c r="J117" s="90"/>
      <c r="K117" s="90"/>
      <c r="L117" s="90"/>
      <c r="M117" s="90"/>
      <c r="O117" s="346"/>
      <c r="Q117" s="230"/>
      <c r="R117" s="230"/>
      <c r="T117" s="230"/>
    </row>
    <row r="118" spans="1:20" x14ac:dyDescent="0.25">
      <c r="A118" s="253" t="s">
        <v>510</v>
      </c>
      <c r="B118" s="452">
        <v>3</v>
      </c>
      <c r="C118" s="253" t="s">
        <v>138</v>
      </c>
      <c r="D118" s="254" t="s">
        <v>511</v>
      </c>
      <c r="E118" s="255">
        <v>2.63</v>
      </c>
      <c r="F118" s="252"/>
      <c r="G118" s="90"/>
      <c r="H118" s="90"/>
      <c r="I118" s="90"/>
      <c r="J118" s="90"/>
      <c r="K118" s="90"/>
      <c r="L118" s="90"/>
      <c r="M118" s="90"/>
      <c r="O118" s="346"/>
      <c r="Q118" s="230"/>
      <c r="R118" s="230"/>
      <c r="T118" s="230"/>
    </row>
    <row r="119" spans="1:20" x14ac:dyDescent="0.25">
      <c r="A119" s="253" t="s">
        <v>512</v>
      </c>
      <c r="B119" s="452">
        <v>2</v>
      </c>
      <c r="C119" s="253" t="s">
        <v>513</v>
      </c>
      <c r="D119" s="254" t="s">
        <v>514</v>
      </c>
      <c r="E119" s="255">
        <f>11/24</f>
        <v>0.45833333333333331</v>
      </c>
      <c r="F119" s="252"/>
      <c r="G119" s="90"/>
      <c r="H119" s="90"/>
      <c r="I119" s="90"/>
      <c r="J119" s="90"/>
      <c r="K119" s="90"/>
      <c r="L119" s="90"/>
      <c r="M119" s="90"/>
      <c r="O119" s="346"/>
      <c r="Q119" s="230"/>
      <c r="R119" s="230"/>
      <c r="T119" s="230"/>
    </row>
    <row r="120" spans="1:20" x14ac:dyDescent="0.25">
      <c r="A120" s="128" t="s">
        <v>66</v>
      </c>
      <c r="B120" s="453">
        <f>SUM(B108:B119)</f>
        <v>128</v>
      </c>
      <c r="C120" s="128"/>
      <c r="D120" s="248" t="s">
        <v>36</v>
      </c>
      <c r="E120" s="238">
        <f>SUM(E108:E119)</f>
        <v>21.968333333333334</v>
      </c>
      <c r="F120" s="238">
        <f>30-E120</f>
        <v>8.0316666666666663</v>
      </c>
      <c r="G120" s="90"/>
      <c r="H120" s="90"/>
      <c r="I120" s="90"/>
      <c r="J120" s="90"/>
      <c r="K120" s="90"/>
      <c r="L120" s="90"/>
      <c r="M120" s="90"/>
      <c r="N120" s="507">
        <f>E120/30</f>
        <v>0.73227777777777781</v>
      </c>
      <c r="O120" s="503">
        <v>10</v>
      </c>
      <c r="R120" s="230"/>
      <c r="T120" s="230"/>
    </row>
    <row r="121" spans="1:20" x14ac:dyDescent="0.25">
      <c r="A121" s="253" t="s">
        <v>695</v>
      </c>
      <c r="B121" s="452">
        <v>15</v>
      </c>
      <c r="C121" s="253" t="s">
        <v>138</v>
      </c>
      <c r="D121" s="254" t="s">
        <v>696</v>
      </c>
      <c r="E121" s="255">
        <v>1.43</v>
      </c>
      <c r="F121" s="252"/>
      <c r="G121" s="528"/>
      <c r="H121" s="528"/>
      <c r="I121" s="528"/>
      <c r="J121" s="528"/>
      <c r="K121" s="528"/>
      <c r="L121" s="528"/>
      <c r="M121" s="528"/>
      <c r="N121" s="529"/>
      <c r="O121" s="528"/>
      <c r="R121" s="230"/>
      <c r="T121" s="230"/>
    </row>
    <row r="122" spans="1:20" x14ac:dyDescent="0.25">
      <c r="A122" s="253" t="s">
        <v>697</v>
      </c>
      <c r="B122" s="452">
        <v>2</v>
      </c>
      <c r="C122" s="253" t="s">
        <v>138</v>
      </c>
      <c r="D122" s="254" t="s">
        <v>698</v>
      </c>
      <c r="E122" s="255">
        <v>1.6</v>
      </c>
      <c r="F122" s="252"/>
      <c r="G122" s="528"/>
      <c r="H122" s="528"/>
      <c r="I122" s="528"/>
      <c r="J122" s="528"/>
      <c r="K122" s="528"/>
      <c r="L122" s="528"/>
      <c r="M122" s="528"/>
      <c r="N122" s="530"/>
      <c r="O122" s="531"/>
      <c r="R122" s="230"/>
      <c r="T122" s="230"/>
    </row>
    <row r="123" spans="1:20" x14ac:dyDescent="0.25">
      <c r="A123" s="253" t="s">
        <v>699</v>
      </c>
      <c r="B123" s="452">
        <v>15</v>
      </c>
      <c r="C123" s="253" t="s">
        <v>700</v>
      </c>
      <c r="D123" s="254" t="s">
        <v>701</v>
      </c>
      <c r="E123" s="255">
        <v>3.14</v>
      </c>
      <c r="F123" s="252"/>
      <c r="G123" s="528"/>
      <c r="H123" s="528"/>
      <c r="I123" s="528"/>
      <c r="J123" s="528"/>
      <c r="K123" s="528"/>
      <c r="L123" s="528"/>
      <c r="M123" s="528"/>
      <c r="N123" s="530"/>
      <c r="O123" s="531"/>
      <c r="R123" s="230"/>
      <c r="T123" s="230"/>
    </row>
    <row r="124" spans="1:20" x14ac:dyDescent="0.25">
      <c r="A124" s="253" t="s">
        <v>702</v>
      </c>
      <c r="B124" s="452">
        <v>1</v>
      </c>
      <c r="C124" s="253" t="s">
        <v>138</v>
      </c>
      <c r="D124" s="254" t="s">
        <v>703</v>
      </c>
      <c r="E124" s="255">
        <v>2.27</v>
      </c>
      <c r="F124" s="252"/>
      <c r="G124" s="528"/>
      <c r="H124" s="528"/>
      <c r="I124" s="528"/>
      <c r="J124" s="528"/>
      <c r="K124" s="528"/>
      <c r="L124" s="528"/>
      <c r="M124" s="528"/>
      <c r="N124" s="530"/>
      <c r="O124" s="531"/>
      <c r="R124" s="230"/>
      <c r="T124" s="230"/>
    </row>
    <row r="125" spans="1:20" x14ac:dyDescent="0.25">
      <c r="A125" s="735" t="s">
        <v>704</v>
      </c>
      <c r="B125" s="452"/>
      <c r="C125" s="253"/>
      <c r="D125" s="254"/>
      <c r="E125" s="255"/>
      <c r="F125" s="252"/>
      <c r="G125" s="528"/>
      <c r="H125" s="528"/>
      <c r="I125" s="528"/>
      <c r="J125" s="528"/>
      <c r="K125" s="528"/>
      <c r="L125" s="528"/>
      <c r="M125" s="528"/>
      <c r="N125" s="530"/>
      <c r="O125" s="531"/>
      <c r="R125" s="230"/>
      <c r="T125" s="230"/>
    </row>
    <row r="126" spans="1:20" x14ac:dyDescent="0.25">
      <c r="A126" s="253" t="s">
        <v>705</v>
      </c>
      <c r="B126" s="452">
        <v>0</v>
      </c>
      <c r="C126" s="253" t="s">
        <v>302</v>
      </c>
      <c r="D126" s="254" t="s">
        <v>706</v>
      </c>
      <c r="E126" s="255">
        <v>4.25</v>
      </c>
      <c r="F126" s="252"/>
      <c r="G126" s="528"/>
      <c r="H126" s="528"/>
      <c r="I126" s="528"/>
      <c r="J126" s="528"/>
      <c r="K126" s="528"/>
      <c r="L126" s="528"/>
      <c r="M126" s="528"/>
      <c r="N126" s="530"/>
      <c r="O126" s="531"/>
      <c r="R126" s="230"/>
      <c r="T126" s="230"/>
    </row>
    <row r="127" spans="1:20" x14ac:dyDescent="0.25">
      <c r="A127" s="253" t="s">
        <v>707</v>
      </c>
      <c r="B127" s="452">
        <v>18</v>
      </c>
      <c r="C127" s="253" t="s">
        <v>23</v>
      </c>
      <c r="D127" s="254" t="s">
        <v>708</v>
      </c>
      <c r="E127" s="255">
        <v>3.84</v>
      </c>
      <c r="F127" s="252"/>
      <c r="G127" s="528"/>
      <c r="H127" s="528"/>
      <c r="I127" s="528"/>
      <c r="J127" s="528"/>
      <c r="K127" s="528"/>
      <c r="L127" s="528"/>
      <c r="M127" s="528"/>
      <c r="N127" s="530"/>
      <c r="O127" s="531"/>
      <c r="R127" s="230"/>
      <c r="T127" s="230"/>
    </row>
    <row r="128" spans="1:20" x14ac:dyDescent="0.25">
      <c r="A128" s="253" t="s">
        <v>709</v>
      </c>
      <c r="B128" s="452">
        <v>25</v>
      </c>
      <c r="C128" s="253" t="s">
        <v>138</v>
      </c>
      <c r="D128" s="254" t="s">
        <v>710</v>
      </c>
      <c r="E128" s="255">
        <v>1.38</v>
      </c>
      <c r="F128" s="252"/>
      <c r="G128" s="528"/>
      <c r="H128" s="528"/>
      <c r="I128" s="528"/>
      <c r="J128" s="528"/>
      <c r="K128" s="528"/>
      <c r="L128" s="528"/>
      <c r="M128" s="528"/>
      <c r="N128" s="530"/>
      <c r="O128" s="531"/>
      <c r="R128" s="230"/>
      <c r="T128" s="230"/>
    </row>
    <row r="129" spans="1:21" x14ac:dyDescent="0.25">
      <c r="A129" s="253" t="s">
        <v>711</v>
      </c>
      <c r="B129" s="452">
        <v>1</v>
      </c>
      <c r="C129" s="253" t="s">
        <v>21</v>
      </c>
      <c r="D129" s="254" t="s">
        <v>712</v>
      </c>
      <c r="E129" s="255">
        <v>2.54</v>
      </c>
      <c r="F129" s="252"/>
      <c r="G129" s="528"/>
      <c r="H129" s="528"/>
      <c r="I129" s="528"/>
      <c r="J129" s="528"/>
      <c r="K129" s="528"/>
      <c r="L129" s="528"/>
      <c r="M129" s="528"/>
      <c r="N129" s="530"/>
      <c r="O129" s="531"/>
      <c r="R129" s="230"/>
      <c r="T129" s="230"/>
    </row>
    <row r="130" spans="1:21" x14ac:dyDescent="0.25">
      <c r="A130" s="253" t="s">
        <v>713</v>
      </c>
      <c r="B130" s="452">
        <v>3</v>
      </c>
      <c r="C130" s="253" t="s">
        <v>22</v>
      </c>
      <c r="D130" s="254" t="s">
        <v>714</v>
      </c>
      <c r="E130" s="255">
        <v>3.51</v>
      </c>
      <c r="F130" s="252"/>
      <c r="G130" s="528"/>
      <c r="H130" s="528"/>
      <c r="I130" s="528"/>
      <c r="J130" s="528"/>
      <c r="K130" s="528"/>
      <c r="L130" s="528"/>
      <c r="M130" s="528"/>
      <c r="N130" s="530"/>
      <c r="O130" s="531"/>
      <c r="R130" s="230"/>
      <c r="T130" s="230"/>
    </row>
    <row r="131" spans="1:21" x14ac:dyDescent="0.25">
      <c r="A131" s="253" t="s">
        <v>715</v>
      </c>
      <c r="B131" s="452">
        <v>5</v>
      </c>
      <c r="C131" s="253" t="s">
        <v>302</v>
      </c>
      <c r="D131" s="254" t="s">
        <v>716</v>
      </c>
      <c r="E131" s="255">
        <v>2.17</v>
      </c>
      <c r="F131" s="252"/>
      <c r="G131" s="528"/>
      <c r="H131" s="528"/>
      <c r="I131" s="528"/>
      <c r="J131" s="528"/>
      <c r="K131" s="528"/>
      <c r="L131" s="528"/>
      <c r="M131" s="528"/>
      <c r="N131" s="530"/>
      <c r="O131" s="531"/>
      <c r="R131" s="230"/>
      <c r="T131" s="230"/>
    </row>
    <row r="132" spans="1:21" x14ac:dyDescent="0.25">
      <c r="A132" s="262" t="s">
        <v>66</v>
      </c>
      <c r="B132" s="453">
        <f>SUM(B121:B131)</f>
        <v>85</v>
      </c>
      <c r="C132" s="128"/>
      <c r="D132" s="248" t="s">
        <v>37</v>
      </c>
      <c r="E132" s="238">
        <f>SUM(E121:E131)</f>
        <v>26.130000000000003</v>
      </c>
      <c r="F132" s="238">
        <f>31-E132</f>
        <v>4.8699999999999974</v>
      </c>
      <c r="G132" s="90"/>
      <c r="H132" s="90"/>
      <c r="I132" s="90"/>
      <c r="J132" s="90"/>
      <c r="K132" s="90"/>
      <c r="L132" s="90"/>
      <c r="M132" s="90"/>
      <c r="N132" s="524">
        <f>E132/31</f>
        <v>0.84290322580645172</v>
      </c>
      <c r="O132" s="525">
        <v>10</v>
      </c>
      <c r="Q132" s="263"/>
      <c r="R132" s="230"/>
      <c r="T132" s="230"/>
    </row>
    <row r="133" spans="1:21" x14ac:dyDescent="0.25">
      <c r="A133" s="693" t="s">
        <v>175</v>
      </c>
      <c r="B133" s="694"/>
      <c r="C133" s="694"/>
      <c r="D133" s="695"/>
      <c r="E133" s="226">
        <f>E26+E14+E38+E46+E56+E67+E80+E89+E98+E107+E120+E132</f>
        <v>296.25833333333333</v>
      </c>
      <c r="F133" s="226">
        <f>F14+F26+F38+F46+F56+F67+F80+F89+F98+F107+F120+F132</f>
        <v>68.741666666666674</v>
      </c>
      <c r="G133" s="90"/>
      <c r="H133" s="90"/>
      <c r="I133" s="90"/>
      <c r="J133" s="90"/>
      <c r="K133" s="90"/>
      <c r="L133" s="90"/>
      <c r="M133" s="90"/>
      <c r="N133" s="392" t="s">
        <v>161</v>
      </c>
      <c r="O133" s="440">
        <v>104</v>
      </c>
      <c r="Q133" s="259"/>
    </row>
    <row r="134" spans="1:21" x14ac:dyDescent="0.25">
      <c r="E134" s="416">
        <f>E133/O134</f>
        <v>0.81166666666666665</v>
      </c>
      <c r="F134" s="416">
        <f>F133/O134</f>
        <v>0.18833333333333335</v>
      </c>
      <c r="N134" s="392" t="s">
        <v>162</v>
      </c>
      <c r="O134" s="425">
        <f>E133+F133</f>
        <v>365</v>
      </c>
      <c r="T134" s="230" t="s">
        <v>12</v>
      </c>
    </row>
    <row r="135" spans="1:21" x14ac:dyDescent="0.25">
      <c r="E135" s="348" t="s">
        <v>152</v>
      </c>
      <c r="F135" s="348" t="s">
        <v>156</v>
      </c>
      <c r="O135" s="299"/>
      <c r="Q135" s="230" t="s">
        <v>12</v>
      </c>
    </row>
    <row r="136" spans="1:21" x14ac:dyDescent="0.25">
      <c r="A136" s="435"/>
      <c r="B136" s="435"/>
      <c r="U136" s="230" t="s">
        <v>12</v>
      </c>
    </row>
    <row r="137" spans="1:21" x14ac:dyDescent="0.25">
      <c r="A137" s="692"/>
      <c r="B137" s="692"/>
      <c r="C137" s="692"/>
      <c r="D137" s="692"/>
      <c r="E137" s="692"/>
      <c r="F137" s="692"/>
      <c r="G137" s="692"/>
      <c r="H137" s="692"/>
      <c r="I137" s="692"/>
      <c r="J137" s="692"/>
      <c r="K137" s="692"/>
      <c r="L137" s="692"/>
      <c r="M137" s="692"/>
      <c r="N137" s="692"/>
      <c r="O137" s="90" t="s">
        <v>12</v>
      </c>
      <c r="P137" s="230" t="s">
        <v>12</v>
      </c>
      <c r="S137" s="230" t="s">
        <v>12</v>
      </c>
    </row>
    <row r="138" spans="1:21" x14ac:dyDescent="0.25">
      <c r="A138" s="467"/>
      <c r="P138" s="259" t="s">
        <v>12</v>
      </c>
    </row>
    <row r="139" spans="1:21" x14ac:dyDescent="0.25">
      <c r="A139" s="467"/>
    </row>
    <row r="140" spans="1:21" x14ac:dyDescent="0.25">
      <c r="A140" s="470"/>
      <c r="B140" s="470"/>
      <c r="C140" s="470"/>
      <c r="D140" s="471"/>
      <c r="O140" s="299"/>
    </row>
    <row r="141" spans="1:21" x14ac:dyDescent="0.25">
      <c r="A141" s="470"/>
      <c r="B141" s="470"/>
      <c r="C141" s="470"/>
      <c r="D141" s="471"/>
    </row>
    <row r="142" spans="1:21" x14ac:dyDescent="0.25">
      <c r="A142" s="476"/>
      <c r="B142" s="476"/>
      <c r="C142" s="476"/>
      <c r="D142" s="477"/>
    </row>
    <row r="143" spans="1:21" x14ac:dyDescent="0.25">
      <c r="A143" s="476"/>
      <c r="B143" s="476"/>
      <c r="C143" s="476"/>
      <c r="D143" s="477"/>
    </row>
  </sheetData>
  <mergeCells count="5">
    <mergeCell ref="A137:N137"/>
    <mergeCell ref="A133:D133"/>
    <mergeCell ref="C4:C5"/>
    <mergeCell ref="A2:O2"/>
    <mergeCell ref="A3:O3"/>
  </mergeCells>
  <printOptions horizontalCentered="1" verticalCentered="1"/>
  <pageMargins left="0.11811023622047245" right="0.11811023622047245" top="0" bottom="0" header="0.31496062992125984" footer="0.31496062992125984"/>
  <pageSetup paperSize="9" scale="52" orientation="landscape" r:id="rId1"/>
  <rowBreaks count="2" manualBreakCount="2">
    <brk id="46" max="16383" man="1"/>
    <brk id="89" max="16383" man="1"/>
  </rowBreaks>
  <colBreaks count="1" manualBreakCount="1">
    <brk id="15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3CD7C-63C5-44A9-95D7-2C4CACCC6DE2}">
  <dimension ref="A6:M12"/>
  <sheetViews>
    <sheetView showGridLines="0" workbookViewId="0">
      <selection activeCell="O26" sqref="O26"/>
    </sheetView>
  </sheetViews>
  <sheetFormatPr defaultRowHeight="12.75" x14ac:dyDescent="0.2"/>
  <cols>
    <col min="1" max="1" width="31.42578125" bestFit="1" customWidth="1"/>
    <col min="2" max="2" width="10.28515625" bestFit="1" customWidth="1"/>
    <col min="3" max="4" width="11.28515625" bestFit="1" customWidth="1"/>
    <col min="5" max="5" width="10.28515625" bestFit="1" customWidth="1"/>
    <col min="6" max="6" width="11.28515625" bestFit="1" customWidth="1"/>
    <col min="8" max="10" width="11.28515625" bestFit="1" customWidth="1"/>
    <col min="11" max="12" width="10.28515625" bestFit="1" customWidth="1"/>
    <col min="13" max="13" width="11.28515625" bestFit="1" customWidth="1"/>
  </cols>
  <sheetData>
    <row r="6" spans="1:13" x14ac:dyDescent="0.2">
      <c r="B6" s="699"/>
      <c r="C6" s="699"/>
    </row>
    <row r="8" spans="1:13" x14ac:dyDescent="0.2">
      <c r="B8" s="667">
        <v>2025</v>
      </c>
      <c r="C8" s="667"/>
      <c r="D8" s="667"/>
      <c r="E8" s="667"/>
      <c r="F8" s="667"/>
      <c r="G8" s="667"/>
      <c r="H8" s="667"/>
      <c r="I8" s="667"/>
      <c r="J8" s="667"/>
      <c r="K8" s="667"/>
      <c r="L8" s="667"/>
      <c r="M8" s="667"/>
    </row>
    <row r="9" spans="1:13" ht="13.5" thickBot="1" x14ac:dyDescent="0.25">
      <c r="A9" s="4" t="s">
        <v>257</v>
      </c>
      <c r="B9" s="532" t="s">
        <v>246</v>
      </c>
      <c r="C9" s="532" t="s">
        <v>247</v>
      </c>
      <c r="D9" s="532" t="s">
        <v>248</v>
      </c>
      <c r="E9" s="532" t="s">
        <v>249</v>
      </c>
      <c r="F9" s="532" t="s">
        <v>250</v>
      </c>
      <c r="G9" s="532" t="s">
        <v>251</v>
      </c>
      <c r="H9" s="532" t="s">
        <v>252</v>
      </c>
      <c r="I9" s="532" t="s">
        <v>253</v>
      </c>
      <c r="J9" s="533" t="s">
        <v>254</v>
      </c>
      <c r="K9" s="603" t="s">
        <v>239</v>
      </c>
      <c r="L9" s="532" t="s">
        <v>242</v>
      </c>
      <c r="M9" s="596" t="s">
        <v>255</v>
      </c>
    </row>
    <row r="10" spans="1:13" x14ac:dyDescent="0.2">
      <c r="A10" s="444" t="s">
        <v>245</v>
      </c>
      <c r="B10" s="468">
        <v>7</v>
      </c>
      <c r="C10" s="468">
        <v>10</v>
      </c>
      <c r="D10" s="444">
        <v>11</v>
      </c>
      <c r="E10" s="468">
        <v>6</v>
      </c>
      <c r="F10" s="468">
        <v>8</v>
      </c>
      <c r="G10" s="468">
        <v>9</v>
      </c>
      <c r="H10" s="468">
        <v>11</v>
      </c>
      <c r="I10" s="468">
        <v>7</v>
      </c>
      <c r="J10" s="468">
        <v>8</v>
      </c>
      <c r="K10" s="604">
        <v>8</v>
      </c>
      <c r="L10" s="468">
        <v>10</v>
      </c>
      <c r="M10" s="730">
        <v>10</v>
      </c>
    </row>
    <row r="11" spans="1:13" x14ac:dyDescent="0.2">
      <c r="A11" s="444" t="s">
        <v>256</v>
      </c>
      <c r="B11" s="468">
        <v>4</v>
      </c>
      <c r="C11" s="468">
        <v>2</v>
      </c>
      <c r="D11" s="444">
        <v>3</v>
      </c>
      <c r="E11" s="468">
        <v>2</v>
      </c>
      <c r="F11" s="468">
        <v>3</v>
      </c>
      <c r="G11" s="468">
        <v>5</v>
      </c>
      <c r="H11" s="468">
        <v>6</v>
      </c>
      <c r="I11" s="468">
        <v>7</v>
      </c>
      <c r="J11" s="468">
        <v>6</v>
      </c>
      <c r="K11" s="605">
        <v>12</v>
      </c>
      <c r="L11" s="468">
        <v>13</v>
      </c>
      <c r="M11" s="730">
        <v>8</v>
      </c>
    </row>
    <row r="12" spans="1:13" x14ac:dyDescent="0.2">
      <c r="A12" s="468" t="s">
        <v>267</v>
      </c>
      <c r="B12" s="469">
        <v>85129</v>
      </c>
      <c r="C12" s="469">
        <f>'cargas mensal'!T16</f>
        <v>136529.06599999999</v>
      </c>
      <c r="D12" s="469">
        <f>'Mov. Cargas '!G40</f>
        <v>116001.68599999999</v>
      </c>
      <c r="E12" s="469">
        <f>'cargas mensal'!T18</f>
        <v>59970.290999999997</v>
      </c>
      <c r="F12" s="469">
        <f>'Mov. Cargas '!K40</f>
        <v>173012.77</v>
      </c>
      <c r="G12" s="518">
        <v>121687</v>
      </c>
      <c r="H12" s="469">
        <f>'Mov. Cargas '!C98</f>
        <v>166035.576</v>
      </c>
      <c r="I12" s="469">
        <f>'cargas mensal'!T22</f>
        <v>143407.53</v>
      </c>
      <c r="J12" s="469">
        <f>125840</f>
        <v>125840</v>
      </c>
      <c r="K12" s="606">
        <f>87890.756</f>
        <v>87890.755999999994</v>
      </c>
      <c r="L12" s="469">
        <f>'cargas mensal'!T25</f>
        <v>98044.606999999989</v>
      </c>
      <c r="M12" s="469">
        <v>128735</v>
      </c>
    </row>
  </sheetData>
  <mergeCells count="2">
    <mergeCell ref="B6:C6"/>
    <mergeCell ref="B8:M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EA7A-CAFE-49FD-8975-A50F1A4EFBF2}">
  <dimension ref="A1:V32"/>
  <sheetViews>
    <sheetView showGridLines="0" topLeftCell="A10" zoomScaleNormal="100" workbookViewId="0">
      <selection activeCell="E26" sqref="E26"/>
    </sheetView>
  </sheetViews>
  <sheetFormatPr defaultRowHeight="12.75" x14ac:dyDescent="0.2"/>
  <cols>
    <col min="1" max="1" width="2.28515625" style="100" customWidth="1"/>
    <col min="2" max="2" width="34.5703125" style="100" customWidth="1"/>
    <col min="3" max="4" width="13.28515625" style="100" customWidth="1"/>
    <col min="5" max="5" width="28.42578125" style="100" customWidth="1"/>
    <col min="6" max="12" width="9.140625" style="100" hidden="1" customWidth="1"/>
    <col min="13" max="13" width="13.5703125" style="100" bestFit="1" customWidth="1"/>
    <col min="14" max="14" width="9.140625" style="100"/>
    <col min="15" max="15" width="20.28515625" style="100" bestFit="1" customWidth="1"/>
    <col min="16" max="17" width="13.28515625" style="100" bestFit="1" customWidth="1"/>
    <col min="18" max="18" width="28.42578125" style="100" bestFit="1" customWidth="1"/>
    <col min="19" max="19" width="9.42578125" style="100" bestFit="1" customWidth="1"/>
    <col min="20" max="16384" width="9.140625" style="100"/>
  </cols>
  <sheetData>
    <row r="1" spans="1:22" ht="14.25" x14ac:dyDescent="0.2"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22" ht="14.25" x14ac:dyDescent="0.2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22" ht="14.25" x14ac:dyDescent="0.2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22" ht="14.25" x14ac:dyDescent="0.2"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1:22" x14ac:dyDescent="0.2"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0"/>
    </row>
    <row r="6" spans="1:22" x14ac:dyDescent="0.2">
      <c r="B6" s="700"/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  <c r="P6" s="700"/>
      <c r="Q6" s="700"/>
      <c r="R6" s="700"/>
    </row>
    <row r="7" spans="1:22" x14ac:dyDescent="0.2"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700"/>
      <c r="P7" s="700"/>
      <c r="Q7" s="700"/>
      <c r="R7" s="700"/>
    </row>
    <row r="8" spans="1:22" x14ac:dyDescent="0.2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</row>
    <row r="9" spans="1:22" x14ac:dyDescent="0.2"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</row>
    <row r="10" spans="1:22" ht="25.5" x14ac:dyDescent="0.35">
      <c r="A10" s="701" t="s">
        <v>77</v>
      </c>
      <c r="B10" s="701"/>
      <c r="C10" s="701"/>
      <c r="D10" s="701"/>
      <c r="E10" s="701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  <c r="Q10" s="426"/>
      <c r="R10" s="426"/>
    </row>
    <row r="11" spans="1:22" ht="19.5" x14ac:dyDescent="0.3">
      <c r="A11" s="702" t="s">
        <v>76</v>
      </c>
      <c r="B11" s="702"/>
      <c r="C11" s="702"/>
      <c r="D11" s="702"/>
      <c r="E11" s="702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27"/>
      <c r="R11" s="427"/>
    </row>
    <row r="12" spans="1:22" x14ac:dyDescent="0.2">
      <c r="O12" s="266"/>
      <c r="P12" s="266"/>
      <c r="Q12" s="266"/>
      <c r="R12" s="266"/>
    </row>
    <row r="13" spans="1:22" ht="25.5" x14ac:dyDescent="0.35">
      <c r="B13" s="107" t="s">
        <v>69</v>
      </c>
      <c r="C13" s="107">
        <v>2024</v>
      </c>
      <c r="D13" s="107">
        <v>2025</v>
      </c>
      <c r="E13" s="107" t="s">
        <v>75</v>
      </c>
      <c r="O13" s="267"/>
      <c r="P13" s="267"/>
      <c r="Q13" s="267"/>
      <c r="R13" s="267"/>
    </row>
    <row r="14" spans="1:22" ht="25.5" x14ac:dyDescent="0.35">
      <c r="B14" s="322" t="s">
        <v>16</v>
      </c>
      <c r="C14" s="323">
        <v>30.05</v>
      </c>
      <c r="D14" s="434">
        <f>'berço 101'!E14</f>
        <v>20.790000000000003</v>
      </c>
      <c r="E14" s="324">
        <f t="shared" ref="E14" si="0">D14/C14-1</f>
        <v>-0.30815307820299498</v>
      </c>
      <c r="M14" s="251"/>
      <c r="O14" s="268"/>
      <c r="P14" s="269"/>
      <c r="Q14" s="269"/>
      <c r="R14" s="270"/>
      <c r="S14" s="192"/>
      <c r="T14" s="100" t="s">
        <v>12</v>
      </c>
    </row>
    <row r="15" spans="1:22" ht="25.5" x14ac:dyDescent="0.35">
      <c r="B15" s="322" t="s">
        <v>17</v>
      </c>
      <c r="C15" s="323">
        <v>27.84</v>
      </c>
      <c r="D15" s="434">
        <f>'berço 101'!E26</f>
        <v>24.22</v>
      </c>
      <c r="E15" s="333">
        <f t="shared" ref="E15:E22" si="1">D15/C15-1</f>
        <v>-0.13002873563218398</v>
      </c>
      <c r="M15" s="104"/>
      <c r="O15" s="268"/>
      <c r="P15" s="269"/>
      <c r="Q15" s="269"/>
      <c r="R15" s="271"/>
      <c r="S15" s="193"/>
      <c r="V15" s="100" t="s">
        <v>12</v>
      </c>
    </row>
    <row r="16" spans="1:22" ht="25.5" x14ac:dyDescent="0.35">
      <c r="B16" s="322" t="s">
        <v>18</v>
      </c>
      <c r="C16" s="323">
        <v>30.07</v>
      </c>
      <c r="D16" s="434">
        <f>'berço 101'!E38</f>
        <v>25.779999999999998</v>
      </c>
      <c r="E16" s="333">
        <f t="shared" si="1"/>
        <v>-0.14266711007648825</v>
      </c>
      <c r="O16" s="268"/>
      <c r="P16" s="269"/>
      <c r="Q16" s="269"/>
      <c r="R16" s="271"/>
      <c r="S16" s="213"/>
    </row>
    <row r="17" spans="2:19" ht="25.5" x14ac:dyDescent="0.35">
      <c r="B17" s="322" t="s">
        <v>51</v>
      </c>
      <c r="C17" s="323">
        <v>28.69</v>
      </c>
      <c r="D17" s="434">
        <f>'berço 101'!E46</f>
        <v>14.51</v>
      </c>
      <c r="E17" s="333">
        <f t="shared" si="1"/>
        <v>-0.49424886720111538</v>
      </c>
      <c r="M17" s="193"/>
      <c r="O17" s="268"/>
      <c r="P17" s="269"/>
      <c r="Q17" s="269"/>
      <c r="R17" s="270"/>
    </row>
    <row r="18" spans="2:19" ht="25.5" x14ac:dyDescent="0.35">
      <c r="B18" s="322" t="s">
        <v>50</v>
      </c>
      <c r="C18" s="323">
        <v>28.86</v>
      </c>
      <c r="D18" s="434">
        <f>'berço 101'!E56</f>
        <v>28.63</v>
      </c>
      <c r="E18" s="333">
        <f t="shared" si="1"/>
        <v>-7.9695079695080162E-3</v>
      </c>
      <c r="M18" s="240"/>
      <c r="O18" s="268"/>
      <c r="P18" s="269"/>
      <c r="Q18" s="269"/>
      <c r="R18" s="270"/>
      <c r="S18" s="213"/>
    </row>
    <row r="19" spans="2:19" ht="25.5" x14ac:dyDescent="0.35">
      <c r="B19" s="322" t="s">
        <v>49</v>
      </c>
      <c r="C19" s="323">
        <v>28.99</v>
      </c>
      <c r="D19" s="434">
        <f>'berço 101'!E67</f>
        <v>27.830000000000002</v>
      </c>
      <c r="E19" s="333">
        <f t="shared" si="1"/>
        <v>-4.0013797861331413E-2</v>
      </c>
      <c r="F19" s="106"/>
      <c r="O19" s="268"/>
      <c r="P19" s="269"/>
      <c r="Q19" s="269"/>
      <c r="R19" s="270"/>
    </row>
    <row r="20" spans="2:19" ht="25.5" x14ac:dyDescent="0.35">
      <c r="B20" s="322" t="s">
        <v>32</v>
      </c>
      <c r="C20" s="323">
        <v>30.18</v>
      </c>
      <c r="D20" s="434">
        <f>'berço 101'!E80</f>
        <v>29.929999999999996</v>
      </c>
      <c r="E20" s="333">
        <f t="shared" si="1"/>
        <v>-8.2836315440690811E-3</v>
      </c>
      <c r="M20" s="243"/>
      <c r="O20" s="268"/>
      <c r="P20" s="269"/>
      <c r="Q20" s="269"/>
      <c r="R20" s="270"/>
    </row>
    <row r="21" spans="2:19" ht="25.5" x14ac:dyDescent="0.35">
      <c r="B21" s="322" t="s">
        <v>33</v>
      </c>
      <c r="C21" s="323">
        <v>29.78</v>
      </c>
      <c r="D21" s="434">
        <f>'berço 101'!E89</f>
        <v>27.099999999999998</v>
      </c>
      <c r="E21" s="333">
        <f t="shared" si="1"/>
        <v>-8.9993284083277447E-2</v>
      </c>
      <c r="G21" s="105"/>
      <c r="M21" s="104"/>
      <c r="O21" s="268"/>
      <c r="P21" s="269"/>
      <c r="Q21" s="269"/>
      <c r="R21" s="270"/>
    </row>
    <row r="22" spans="2:19" ht="25.5" x14ac:dyDescent="0.35">
      <c r="B22" s="322" t="s">
        <v>34</v>
      </c>
      <c r="C22" s="323">
        <v>29.05</v>
      </c>
      <c r="D22" s="434">
        <f>'berço 101'!E98</f>
        <v>26.520000000000003</v>
      </c>
      <c r="E22" s="333">
        <f t="shared" si="1"/>
        <v>-8.7091222030980964E-2</v>
      </c>
      <c r="O22" s="492"/>
      <c r="P22" s="269"/>
      <c r="Q22" s="269"/>
      <c r="R22" s="272"/>
    </row>
    <row r="23" spans="2:19" ht="25.5" x14ac:dyDescent="0.35">
      <c r="B23" s="322" t="s">
        <v>35</v>
      </c>
      <c r="C23" s="323">
        <v>27.93</v>
      </c>
      <c r="D23" s="434">
        <v>22.85</v>
      </c>
      <c r="E23" s="333">
        <f>D23/C23-1</f>
        <v>-0.1818832796276405</v>
      </c>
      <c r="M23" s="103"/>
      <c r="O23" s="493"/>
      <c r="P23" s="269"/>
      <c r="Q23" s="269"/>
      <c r="R23" s="272"/>
    </row>
    <row r="24" spans="2:19" ht="25.5" x14ac:dyDescent="0.35">
      <c r="B24" s="322" t="s">
        <v>36</v>
      </c>
      <c r="C24" s="323">
        <v>28.89</v>
      </c>
      <c r="D24" s="434">
        <f>'berço 101'!E120</f>
        <v>21.968333333333334</v>
      </c>
      <c r="E24" s="333">
        <f>D24/C24-1</f>
        <v>-0.23958693896388605</v>
      </c>
      <c r="O24" s="268"/>
      <c r="P24" s="269"/>
      <c r="Q24" s="269"/>
      <c r="R24" s="272"/>
    </row>
    <row r="25" spans="2:19" ht="25.5" x14ac:dyDescent="0.35">
      <c r="B25" s="322" t="s">
        <v>37</v>
      </c>
      <c r="C25" s="323">
        <v>30.18</v>
      </c>
      <c r="D25" s="434">
        <v>26.13</v>
      </c>
      <c r="E25" s="376">
        <f>D25/C25-1</f>
        <v>-0.13419483101391649</v>
      </c>
      <c r="O25" s="268"/>
      <c r="P25" s="269"/>
      <c r="Q25" s="269"/>
      <c r="R25" s="270"/>
      <c r="S25" s="192"/>
    </row>
    <row r="26" spans="2:19" ht="25.5" x14ac:dyDescent="0.35">
      <c r="B26" s="334" t="s">
        <v>177</v>
      </c>
      <c r="C26" s="337">
        <f>SUM(C14:C25)</f>
        <v>350.51</v>
      </c>
      <c r="D26" s="338">
        <f>SUM(D14:D25)</f>
        <v>296.25833333333333</v>
      </c>
      <c r="E26" s="421"/>
      <c r="O26" s="268"/>
      <c r="P26" s="269"/>
      <c r="Q26" s="269"/>
      <c r="R26" s="270"/>
      <c r="S26" s="192"/>
    </row>
    <row r="27" spans="2:19" ht="25.5" x14ac:dyDescent="0.35">
      <c r="B27" s="335" t="s">
        <v>201</v>
      </c>
      <c r="C27" s="336">
        <f>C26/366</f>
        <v>0.95767759562841526</v>
      </c>
      <c r="D27" s="336">
        <f>D26/365</f>
        <v>0.81166666666666665</v>
      </c>
      <c r="E27" s="292"/>
      <c r="O27" s="268"/>
      <c r="P27" s="269"/>
      <c r="Q27" s="269"/>
      <c r="R27" s="270"/>
      <c r="S27" s="192"/>
    </row>
    <row r="28" spans="2:19" ht="20.25" x14ac:dyDescent="0.3">
      <c r="B28" s="284"/>
      <c r="C28" s="285"/>
      <c r="D28" s="285"/>
      <c r="E28" s="103"/>
    </row>
    <row r="29" spans="2:19" ht="20.25" x14ac:dyDescent="0.3">
      <c r="B29" s="103" t="s">
        <v>132</v>
      </c>
      <c r="C29" s="103"/>
      <c r="D29" s="103"/>
      <c r="E29" s="102"/>
      <c r="O29" s="101"/>
    </row>
    <row r="30" spans="2:19" ht="20.25" x14ac:dyDescent="0.3">
      <c r="B30" s="103" t="s">
        <v>141</v>
      </c>
    </row>
    <row r="32" spans="2:19" ht="20.25" x14ac:dyDescent="0.3">
      <c r="B32" s="103"/>
    </row>
  </sheetData>
  <mergeCells count="5">
    <mergeCell ref="B5:R5"/>
    <mergeCell ref="B6:R6"/>
    <mergeCell ref="B7:R7"/>
    <mergeCell ref="A10:E10"/>
    <mergeCell ref="A11:E11"/>
  </mergeCells>
  <printOptions horizontalCentered="1" verticalCentered="1"/>
  <pageMargins left="0" right="0" top="0" bottom="0" header="0.31496062992125984" footer="0.31496062992125984"/>
  <pageSetup paperSize="9" scale="64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064C1-876D-4408-8A3B-17A0617F5305}">
  <dimension ref="A1:T31"/>
  <sheetViews>
    <sheetView showGridLines="0" topLeftCell="A10" workbookViewId="0">
      <selection activeCell="C26" sqref="C26"/>
    </sheetView>
  </sheetViews>
  <sheetFormatPr defaultRowHeight="12.75" x14ac:dyDescent="0.2"/>
  <cols>
    <col min="1" max="1" width="2.28515625" style="100" customWidth="1"/>
    <col min="2" max="2" width="34.5703125" style="100" customWidth="1"/>
    <col min="3" max="3" width="31.28515625" style="100" bestFit="1" customWidth="1"/>
    <col min="4" max="10" width="9.140625" style="100" hidden="1" customWidth="1"/>
    <col min="11" max="11" width="17.85546875" style="100" bestFit="1" customWidth="1"/>
    <col min="12" max="12" width="9.140625" style="100"/>
    <col min="13" max="13" width="20.28515625" style="100" bestFit="1" customWidth="1"/>
    <col min="14" max="14" width="13.28515625" style="100" bestFit="1" customWidth="1"/>
    <col min="15" max="15" width="17.140625" style="100" bestFit="1" customWidth="1"/>
    <col min="16" max="16" width="28.42578125" style="100" bestFit="1" customWidth="1"/>
    <col min="17" max="17" width="9.42578125" style="100" bestFit="1" customWidth="1"/>
    <col min="18" max="16384" width="9.140625" style="100"/>
  </cols>
  <sheetData>
    <row r="1" spans="1:20" ht="14.25" x14ac:dyDescent="0.2">
      <c r="B1" s="109"/>
      <c r="C1" s="109"/>
      <c r="D1" s="109"/>
      <c r="E1" s="109"/>
      <c r="F1" s="109"/>
      <c r="G1" s="109"/>
      <c r="H1" s="109"/>
      <c r="I1" s="109"/>
      <c r="J1" s="109"/>
    </row>
    <row r="2" spans="1:20" ht="14.25" x14ac:dyDescent="0.2">
      <c r="B2" s="109"/>
      <c r="C2" s="109"/>
      <c r="D2" s="109"/>
      <c r="E2" s="109"/>
      <c r="F2" s="109"/>
      <c r="G2" s="109"/>
      <c r="H2" s="109"/>
      <c r="I2" s="109"/>
      <c r="J2" s="109"/>
    </row>
    <row r="3" spans="1:20" ht="14.25" x14ac:dyDescent="0.2">
      <c r="B3" s="109"/>
      <c r="C3" s="109"/>
      <c r="D3" s="109"/>
      <c r="E3" s="109"/>
      <c r="F3" s="109"/>
      <c r="G3" s="109"/>
      <c r="H3" s="109"/>
      <c r="I3" s="109"/>
      <c r="J3" s="109"/>
    </row>
    <row r="4" spans="1:20" ht="14.25" x14ac:dyDescent="0.2">
      <c r="B4" s="109"/>
      <c r="C4" s="109"/>
      <c r="D4" s="109"/>
      <c r="E4" s="109"/>
      <c r="F4" s="109"/>
      <c r="G4" s="109"/>
      <c r="H4" s="109"/>
      <c r="I4" s="109"/>
      <c r="J4" s="109"/>
    </row>
    <row r="5" spans="1:20" x14ac:dyDescent="0.2">
      <c r="B5" s="700"/>
      <c r="C5" s="700"/>
      <c r="D5" s="700"/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</row>
    <row r="6" spans="1:20" x14ac:dyDescent="0.2">
      <c r="B6" s="700"/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700"/>
      <c r="O6" s="700"/>
      <c r="P6" s="700"/>
    </row>
    <row r="7" spans="1:20" x14ac:dyDescent="0.2">
      <c r="B7" s="700"/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700"/>
      <c r="O7" s="700"/>
      <c r="P7" s="700"/>
    </row>
    <row r="8" spans="1:20" x14ac:dyDescent="0.2">
      <c r="B8" s="108"/>
      <c r="C8" s="108"/>
      <c r="D8" s="108"/>
      <c r="E8" s="108"/>
      <c r="F8" s="108"/>
      <c r="G8" s="108"/>
      <c r="H8" s="108"/>
      <c r="I8" s="108"/>
      <c r="J8" s="108"/>
    </row>
    <row r="9" spans="1:20" x14ac:dyDescent="0.2">
      <c r="B9" s="108"/>
      <c r="C9" s="108"/>
      <c r="D9" s="108"/>
      <c r="E9" s="108"/>
      <c r="F9" s="108"/>
      <c r="G9" s="108"/>
      <c r="H9" s="108"/>
      <c r="I9" s="108"/>
      <c r="J9" s="108"/>
    </row>
    <row r="10" spans="1:20" ht="25.5" x14ac:dyDescent="0.35">
      <c r="A10" s="701" t="s">
        <v>272</v>
      </c>
      <c r="B10" s="701"/>
      <c r="C10" s="701"/>
      <c r="D10" s="426"/>
      <c r="E10" s="426"/>
      <c r="F10" s="426"/>
      <c r="G10" s="426"/>
      <c r="H10" s="426"/>
      <c r="I10" s="426"/>
      <c r="J10" s="426"/>
      <c r="K10" s="426"/>
      <c r="L10" s="426"/>
      <c r="M10" s="426"/>
      <c r="N10" s="426"/>
      <c r="O10" s="426"/>
      <c r="P10" s="426"/>
    </row>
    <row r="11" spans="1:20" ht="19.5" x14ac:dyDescent="0.3">
      <c r="A11" s="702" t="s">
        <v>313</v>
      </c>
      <c r="B11" s="702"/>
      <c r="C11" s="702"/>
      <c r="D11" s="427"/>
      <c r="E11" s="427"/>
      <c r="F11" s="427"/>
      <c r="G11" s="427"/>
      <c r="H11" s="427"/>
      <c r="I11" s="427"/>
      <c r="J11" s="427"/>
      <c r="K11" s="427"/>
      <c r="L11" s="427"/>
      <c r="M11" s="427"/>
      <c r="N11" s="427"/>
      <c r="O11" s="427"/>
      <c r="P11" s="427"/>
    </row>
    <row r="12" spans="1:20" x14ac:dyDescent="0.2">
      <c r="M12" s="266"/>
      <c r="N12" s="266"/>
      <c r="O12" s="266"/>
      <c r="P12" s="266"/>
    </row>
    <row r="13" spans="1:20" ht="25.5" x14ac:dyDescent="0.35">
      <c r="B13" s="107" t="s">
        <v>69</v>
      </c>
      <c r="C13" s="107" t="s">
        <v>273</v>
      </c>
      <c r="M13" s="267"/>
      <c r="N13" s="267"/>
      <c r="O13" s="267"/>
      <c r="P13" s="267"/>
    </row>
    <row r="14" spans="1:20" ht="25.5" x14ac:dyDescent="0.35">
      <c r="B14" s="322" t="s">
        <v>16</v>
      </c>
      <c r="C14" s="519">
        <v>74531</v>
      </c>
      <c r="K14" s="251"/>
      <c r="M14" s="268"/>
      <c r="N14" s="269"/>
      <c r="O14" s="269"/>
      <c r="P14" s="270"/>
      <c r="Q14" s="192"/>
      <c r="R14" s="100" t="s">
        <v>12</v>
      </c>
    </row>
    <row r="15" spans="1:20" ht="25.5" x14ac:dyDescent="0.35">
      <c r="B15" s="322" t="s">
        <v>17</v>
      </c>
      <c r="C15" s="520">
        <f>'Mov. Cargas '!E40*0.55</f>
        <v>75090.986300000004</v>
      </c>
      <c r="K15" s="104"/>
      <c r="M15" s="268"/>
      <c r="N15" s="269"/>
      <c r="O15" s="269"/>
      <c r="P15" s="271"/>
      <c r="Q15" s="193"/>
      <c r="T15" s="100" t="s">
        <v>12</v>
      </c>
    </row>
    <row r="16" spans="1:20" ht="25.5" x14ac:dyDescent="0.35">
      <c r="B16" s="322" t="s">
        <v>18</v>
      </c>
      <c r="C16" s="520">
        <f>'Mov. Cargas '!G40*0.55</f>
        <v>63800.927299999996</v>
      </c>
      <c r="M16" s="268"/>
      <c r="N16" s="269"/>
      <c r="O16" s="269"/>
      <c r="P16" s="271"/>
      <c r="Q16" s="213"/>
    </row>
    <row r="17" spans="2:17" ht="25.5" x14ac:dyDescent="0.35">
      <c r="B17" s="322" t="s">
        <v>51</v>
      </c>
      <c r="C17" s="520">
        <v>53568</v>
      </c>
      <c r="K17" s="193"/>
      <c r="M17" s="268"/>
      <c r="N17" s="269"/>
      <c r="O17" s="269"/>
      <c r="P17" s="270"/>
    </row>
    <row r="18" spans="2:17" ht="25.5" x14ac:dyDescent="0.35">
      <c r="B18" s="322" t="s">
        <v>50</v>
      </c>
      <c r="C18" s="520">
        <v>74449</v>
      </c>
      <c r="K18" s="240"/>
      <c r="M18" s="268"/>
      <c r="N18" s="269"/>
      <c r="O18" s="269"/>
      <c r="P18" s="270"/>
      <c r="Q18" s="213"/>
    </row>
    <row r="19" spans="2:17" ht="25.5" x14ac:dyDescent="0.35">
      <c r="B19" s="322" t="s">
        <v>49</v>
      </c>
      <c r="C19" s="521">
        <v>65223</v>
      </c>
      <c r="D19" s="106"/>
      <c r="M19" s="268"/>
      <c r="N19" s="269"/>
      <c r="O19" s="269"/>
      <c r="P19" s="270"/>
    </row>
    <row r="20" spans="2:17" ht="25.5" x14ac:dyDescent="0.35">
      <c r="B20" s="322" t="s">
        <v>32</v>
      </c>
      <c r="C20" s="520">
        <v>69405</v>
      </c>
      <c r="K20" s="243"/>
      <c r="M20" s="268"/>
      <c r="N20" s="269"/>
      <c r="O20" s="269"/>
      <c r="P20" s="270"/>
    </row>
    <row r="21" spans="2:17" ht="25.5" x14ac:dyDescent="0.35">
      <c r="B21" s="322" t="s">
        <v>33</v>
      </c>
      <c r="C21" s="520">
        <v>76951</v>
      </c>
      <c r="E21" s="105"/>
      <c r="K21" s="104"/>
      <c r="M21" s="268"/>
      <c r="N21" s="269"/>
      <c r="O21" s="269"/>
      <c r="P21" s="270"/>
    </row>
    <row r="22" spans="2:17" ht="25.5" x14ac:dyDescent="0.35">
      <c r="B22" s="322" t="s">
        <v>34</v>
      </c>
      <c r="C22" s="520">
        <v>118755</v>
      </c>
      <c r="M22" s="268"/>
      <c r="N22" s="269"/>
      <c r="O22" s="269"/>
      <c r="P22" s="272"/>
    </row>
    <row r="23" spans="2:17" ht="25.5" x14ac:dyDescent="0.35">
      <c r="B23" s="322" t="s">
        <v>35</v>
      </c>
      <c r="C23" s="520">
        <v>42409</v>
      </c>
      <c r="K23" s="103"/>
      <c r="M23" s="268"/>
      <c r="N23" s="269"/>
      <c r="O23" s="269"/>
      <c r="P23" s="272"/>
    </row>
    <row r="24" spans="2:17" ht="25.5" x14ac:dyDescent="0.35">
      <c r="B24" s="322" t="s">
        <v>36</v>
      </c>
      <c r="C24" s="520">
        <v>50273</v>
      </c>
      <c r="M24" s="268"/>
      <c r="N24" s="269"/>
      <c r="O24" s="269"/>
      <c r="P24" s="272"/>
    </row>
    <row r="25" spans="2:17" ht="25.5" x14ac:dyDescent="0.35">
      <c r="B25" s="322" t="s">
        <v>37</v>
      </c>
      <c r="C25" s="522">
        <v>52782</v>
      </c>
      <c r="M25" s="268"/>
      <c r="N25" s="269"/>
      <c r="O25" s="269"/>
      <c r="P25" s="270"/>
      <c r="Q25" s="192"/>
    </row>
    <row r="26" spans="2:17" ht="25.5" x14ac:dyDescent="0.35">
      <c r="B26" s="334" t="s">
        <v>274</v>
      </c>
      <c r="C26" s="523">
        <f>SUM(C14:C25)</f>
        <v>817237.91359999997</v>
      </c>
      <c r="L26" s="584"/>
      <c r="M26" s="268"/>
      <c r="N26" s="269"/>
      <c r="O26" s="269"/>
      <c r="P26" s="270"/>
      <c r="Q26" s="192"/>
    </row>
    <row r="27" spans="2:17" ht="20.25" x14ac:dyDescent="0.3">
      <c r="B27" s="284"/>
      <c r="C27" s="103"/>
      <c r="L27" s="517"/>
    </row>
    <row r="28" spans="2:17" ht="20.25" x14ac:dyDescent="0.3">
      <c r="B28" s="103" t="s">
        <v>275</v>
      </c>
      <c r="C28" s="102"/>
      <c r="M28" s="101"/>
    </row>
    <row r="29" spans="2:17" ht="20.25" x14ac:dyDescent="0.3">
      <c r="B29" s="103"/>
    </row>
    <row r="31" spans="2:17" ht="20.25" x14ac:dyDescent="0.3">
      <c r="B31" s="103"/>
    </row>
  </sheetData>
  <mergeCells count="5">
    <mergeCell ref="B5:P5"/>
    <mergeCell ref="B6:P6"/>
    <mergeCell ref="B7:P7"/>
    <mergeCell ref="A10:C10"/>
    <mergeCell ref="A11:C11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29592-2F22-4341-9E62-97C67383290C}">
  <dimension ref="A7:S107"/>
  <sheetViews>
    <sheetView showGridLines="0" topLeftCell="A73" zoomScaleNormal="100" workbookViewId="0">
      <selection activeCell="O98" sqref="O98"/>
    </sheetView>
  </sheetViews>
  <sheetFormatPr defaultColWidth="11.42578125" defaultRowHeight="12.75" x14ac:dyDescent="0.2"/>
  <cols>
    <col min="1" max="1" width="32.140625" style="1" customWidth="1"/>
    <col min="2" max="2" width="8.7109375" style="2" customWidth="1"/>
    <col min="3" max="3" width="16" style="3" bestFit="1" customWidth="1"/>
    <col min="4" max="4" width="8.7109375" style="2" customWidth="1"/>
    <col min="5" max="5" width="16" style="3" bestFit="1" customWidth="1"/>
    <col min="6" max="6" width="8.85546875" style="2" customWidth="1"/>
    <col min="7" max="7" width="16" style="3" bestFit="1" customWidth="1"/>
    <col min="8" max="8" width="8.7109375" style="2" customWidth="1"/>
    <col min="9" max="9" width="15" style="3" bestFit="1" customWidth="1"/>
    <col min="10" max="10" width="8.7109375" style="2" customWidth="1"/>
    <col min="11" max="11" width="13.140625" style="3" customWidth="1"/>
    <col min="12" max="12" width="8.5703125" style="2" customWidth="1"/>
    <col min="13" max="13" width="12" style="3" customWidth="1"/>
    <col min="14" max="14" width="10.5703125" style="1" customWidth="1"/>
    <col min="15" max="15" width="17.42578125" style="1" customWidth="1"/>
    <col min="16" max="16" width="22.7109375" style="1" bestFit="1" customWidth="1"/>
    <col min="17" max="17" width="12.28515625" style="1" bestFit="1" customWidth="1"/>
    <col min="18" max="18" width="14.42578125" style="1" bestFit="1" customWidth="1"/>
    <col min="19" max="19" width="12.28515625" style="1" bestFit="1" customWidth="1"/>
    <col min="20" max="16384" width="11.42578125" style="1"/>
  </cols>
  <sheetData>
    <row r="7" spans="1:17" ht="13.5" thickBot="1" x14ac:dyDescent="0.25"/>
    <row r="8" spans="1:17" ht="21.75" thickTop="1" thickBot="1" x14ac:dyDescent="0.35">
      <c r="A8" s="615" t="s">
        <v>295</v>
      </c>
      <c r="B8" s="616"/>
      <c r="C8" s="616"/>
      <c r="D8" s="616"/>
      <c r="E8" s="616"/>
      <c r="F8" s="616"/>
      <c r="G8" s="616"/>
      <c r="H8" s="616"/>
      <c r="I8" s="616"/>
      <c r="J8" s="616"/>
      <c r="K8" s="616"/>
      <c r="L8" s="616"/>
      <c r="M8" s="616"/>
      <c r="N8" s="616"/>
      <c r="O8" s="617"/>
    </row>
    <row r="9" spans="1:17" ht="13.5" thickTop="1" x14ac:dyDescent="0.2"/>
    <row r="10" spans="1:17" x14ac:dyDescent="0.2">
      <c r="A10" s="4" t="s">
        <v>0</v>
      </c>
      <c r="B10" s="5" t="s">
        <v>1</v>
      </c>
      <c r="C10" s="6"/>
      <c r="D10" s="7" t="s">
        <v>2</v>
      </c>
      <c r="E10" s="8"/>
      <c r="F10" s="7" t="s">
        <v>3</v>
      </c>
      <c r="G10" s="9"/>
      <c r="H10" s="5" t="s">
        <v>4</v>
      </c>
      <c r="I10" s="9"/>
      <c r="J10" s="5" t="s">
        <v>5</v>
      </c>
      <c r="K10" s="9"/>
      <c r="L10" s="5" t="s">
        <v>6</v>
      </c>
      <c r="M10" s="9"/>
      <c r="N10" s="10" t="s">
        <v>7</v>
      </c>
      <c r="O10" s="11"/>
      <c r="P10" s="454" t="s">
        <v>261</v>
      </c>
    </row>
    <row r="11" spans="1:17" x14ac:dyDescent="0.2">
      <c r="A11" s="4" t="s">
        <v>24</v>
      </c>
      <c r="B11" s="13" t="s">
        <v>8</v>
      </c>
      <c r="C11" s="14" t="s">
        <v>9</v>
      </c>
      <c r="D11" s="13" t="s">
        <v>8</v>
      </c>
      <c r="E11" s="14" t="s">
        <v>9</v>
      </c>
      <c r="F11" s="4" t="s">
        <v>8</v>
      </c>
      <c r="G11" s="14" t="s">
        <v>9</v>
      </c>
      <c r="H11" s="4" t="s">
        <v>8</v>
      </c>
      <c r="I11" s="14" t="s">
        <v>9</v>
      </c>
      <c r="J11" s="13" t="s">
        <v>8</v>
      </c>
      <c r="K11" s="14" t="s">
        <v>9</v>
      </c>
      <c r="L11" s="13" t="s">
        <v>8</v>
      </c>
      <c r="M11" s="14" t="s">
        <v>9</v>
      </c>
      <c r="N11" s="15" t="s">
        <v>8</v>
      </c>
      <c r="O11" s="16" t="s">
        <v>9</v>
      </c>
      <c r="P11" s="4" t="s">
        <v>260</v>
      </c>
    </row>
    <row r="12" spans="1:17" ht="12.75" customHeight="1" x14ac:dyDescent="0.2">
      <c r="A12" s="279" t="s">
        <v>21</v>
      </c>
      <c r="B12" s="44">
        <v>0</v>
      </c>
      <c r="C12" s="197">
        <v>12536.51</v>
      </c>
      <c r="D12" s="205">
        <v>0</v>
      </c>
      <c r="E12" s="197">
        <f>25463.8+13576+5410.2</f>
        <v>44450</v>
      </c>
      <c r="F12" s="216">
        <v>0</v>
      </c>
      <c r="G12" s="197">
        <f>25946.17+12011.49</f>
        <v>37957.659999999996</v>
      </c>
      <c r="H12" s="205"/>
      <c r="I12" s="204">
        <f>13338.12+27944.13</f>
        <v>41282.25</v>
      </c>
      <c r="J12" s="397">
        <v>0</v>
      </c>
      <c r="K12" s="277">
        <f>20268.69+22791.85+27830.81</f>
        <v>70891.349999999991</v>
      </c>
      <c r="L12" s="205">
        <v>0</v>
      </c>
      <c r="M12" s="402">
        <f>5991.73</f>
        <v>5991.73</v>
      </c>
      <c r="N12" s="45">
        <v>0</v>
      </c>
      <c r="O12" s="20">
        <f t="shared" ref="O12:O18" si="0">(C12+E12+G12+I12+K12+M12)</f>
        <v>213109.49999999997</v>
      </c>
      <c r="P12" s="534">
        <f>O12*343</f>
        <v>73096558.499999985</v>
      </c>
    </row>
    <row r="13" spans="1:17" ht="12.75" customHeight="1" x14ac:dyDescent="0.2">
      <c r="A13" s="279" t="s">
        <v>124</v>
      </c>
      <c r="B13" s="44">
        <v>0</v>
      </c>
      <c r="C13" s="197">
        <v>9045.89</v>
      </c>
      <c r="D13" s="205">
        <v>0</v>
      </c>
      <c r="E13" s="197">
        <v>0</v>
      </c>
      <c r="F13" s="216">
        <v>0</v>
      </c>
      <c r="G13" s="197">
        <f>5154.6</f>
        <v>5154.6000000000004</v>
      </c>
      <c r="H13" s="205"/>
      <c r="I13" s="204">
        <v>0</v>
      </c>
      <c r="J13" s="398">
        <v>0</v>
      </c>
      <c r="K13" s="197">
        <v>0</v>
      </c>
      <c r="L13" s="205">
        <v>0</v>
      </c>
      <c r="M13" s="402">
        <v>6942.02</v>
      </c>
      <c r="N13" s="49">
        <v>0</v>
      </c>
      <c r="O13" s="20">
        <f t="shared" si="0"/>
        <v>21142.510000000002</v>
      </c>
      <c r="P13" s="535">
        <f>O13*380</f>
        <v>8034153.8000000007</v>
      </c>
    </row>
    <row r="14" spans="1:17" x14ac:dyDescent="0.2">
      <c r="A14" s="279" t="s">
        <v>22</v>
      </c>
      <c r="B14" s="44">
        <v>0</v>
      </c>
      <c r="C14" s="197">
        <v>0</v>
      </c>
      <c r="D14" s="205">
        <v>0</v>
      </c>
      <c r="E14" s="197">
        <v>23020.51</v>
      </c>
      <c r="F14" s="216">
        <v>0</v>
      </c>
      <c r="G14" s="197">
        <v>0</v>
      </c>
      <c r="H14" s="205"/>
      <c r="I14" s="204">
        <v>0</v>
      </c>
      <c r="J14" s="397">
        <v>0</v>
      </c>
      <c r="K14" s="197">
        <v>0</v>
      </c>
      <c r="L14" s="205">
        <v>0</v>
      </c>
      <c r="M14" s="204">
        <v>0</v>
      </c>
      <c r="N14" s="45">
        <v>0</v>
      </c>
      <c r="O14" s="20">
        <f t="shared" si="0"/>
        <v>23020.51</v>
      </c>
      <c r="P14" s="536">
        <f>O14*599.11</f>
        <v>13791817.746099999</v>
      </c>
    </row>
    <row r="15" spans="1:17" x14ac:dyDescent="0.2">
      <c r="A15" s="279" t="s">
        <v>23</v>
      </c>
      <c r="B15" s="44">
        <v>0</v>
      </c>
      <c r="C15" s="197">
        <v>0</v>
      </c>
      <c r="D15" s="205">
        <v>0</v>
      </c>
      <c r="E15" s="197">
        <v>24864.67</v>
      </c>
      <c r="F15" s="216">
        <v>0</v>
      </c>
      <c r="G15" s="197">
        <v>0</v>
      </c>
      <c r="H15" s="205"/>
      <c r="I15" s="204">
        <v>0</v>
      </c>
      <c r="J15" s="397">
        <v>0</v>
      </c>
      <c r="K15" s="197">
        <v>25511.84</v>
      </c>
      <c r="L15" s="205">
        <v>0</v>
      </c>
      <c r="M15" s="204">
        <v>0</v>
      </c>
      <c r="N15" s="45">
        <v>0</v>
      </c>
      <c r="O15" s="20">
        <f t="shared" si="0"/>
        <v>50376.509999999995</v>
      </c>
      <c r="P15" s="535">
        <f>O15*414.31</f>
        <v>20871491.858099997</v>
      </c>
      <c r="Q15" s="59"/>
    </row>
    <row r="16" spans="1:17" x14ac:dyDescent="0.2">
      <c r="A16" s="279" t="s">
        <v>126</v>
      </c>
      <c r="B16" s="29">
        <v>450</v>
      </c>
      <c r="C16" s="197">
        <v>27.14</v>
      </c>
      <c r="D16" s="206">
        <v>856</v>
      </c>
      <c r="E16" s="197">
        <v>20.135000000000002</v>
      </c>
      <c r="F16" s="217">
        <v>199</v>
      </c>
      <c r="G16" s="197">
        <v>28.611000000000001</v>
      </c>
      <c r="H16" s="206">
        <v>2319</v>
      </c>
      <c r="I16" s="204">
        <v>18.477</v>
      </c>
      <c r="J16" s="217">
        <v>134</v>
      </c>
      <c r="K16" s="197">
        <v>16.141999999999999</v>
      </c>
      <c r="L16" s="206">
        <v>1269</v>
      </c>
      <c r="M16" s="402">
        <v>326.32799999999997</v>
      </c>
      <c r="N16" s="49">
        <f>(B16+D16+F16+H16+J16+L16)</f>
        <v>5227</v>
      </c>
      <c r="O16" s="20">
        <f t="shared" si="0"/>
        <v>436.83299999999997</v>
      </c>
      <c r="P16" s="537"/>
      <c r="Q16" s="59"/>
    </row>
    <row r="17" spans="1:17" x14ac:dyDescent="0.2">
      <c r="A17" s="244" t="s">
        <v>205</v>
      </c>
      <c r="B17" s="29">
        <v>0</v>
      </c>
      <c r="C17" s="197">
        <v>0</v>
      </c>
      <c r="D17" s="206">
        <v>0</v>
      </c>
      <c r="E17" s="204">
        <v>0</v>
      </c>
      <c r="F17" s="217">
        <v>0</v>
      </c>
      <c r="G17" s="197">
        <v>0</v>
      </c>
      <c r="H17" s="206"/>
      <c r="I17" s="204">
        <v>0</v>
      </c>
      <c r="J17" s="398">
        <v>0</v>
      </c>
      <c r="K17" s="197">
        <v>0</v>
      </c>
      <c r="L17" s="205">
        <v>0</v>
      </c>
      <c r="M17" s="204">
        <v>0</v>
      </c>
      <c r="N17" s="49">
        <f>B17+D17+F17+H17+J17+L17</f>
        <v>0</v>
      </c>
      <c r="O17" s="20">
        <f t="shared" si="0"/>
        <v>0</v>
      </c>
      <c r="P17" s="535">
        <f>O17*675</f>
        <v>0</v>
      </c>
    </row>
    <row r="18" spans="1:17" ht="12.75" customHeight="1" x14ac:dyDescent="0.2">
      <c r="A18" s="244" t="s">
        <v>387</v>
      </c>
      <c r="B18" s="44">
        <v>0</v>
      </c>
      <c r="C18" s="197">
        <v>0</v>
      </c>
      <c r="D18" s="206">
        <v>0</v>
      </c>
      <c r="E18" s="204">
        <v>0</v>
      </c>
      <c r="F18" s="216">
        <v>0</v>
      </c>
      <c r="G18" s="197">
        <v>0</v>
      </c>
      <c r="H18" s="206"/>
      <c r="I18" s="204">
        <v>0</v>
      </c>
      <c r="J18" s="397">
        <v>0</v>
      </c>
      <c r="K18" s="197">
        <v>0</v>
      </c>
      <c r="L18" s="205">
        <v>0</v>
      </c>
      <c r="M18" s="204">
        <v>26859.42</v>
      </c>
      <c r="N18" s="49">
        <v>0</v>
      </c>
      <c r="O18" s="20">
        <f t="shared" si="0"/>
        <v>26859.42</v>
      </c>
      <c r="P18" s="537">
        <f>O18*418</f>
        <v>11227237.559999999</v>
      </c>
    </row>
    <row r="19" spans="1:17" ht="12.75" customHeight="1" x14ac:dyDescent="0.2">
      <c r="A19" s="47" t="s">
        <v>27</v>
      </c>
      <c r="B19" s="17">
        <v>0</v>
      </c>
      <c r="C19" s="3">
        <v>0</v>
      </c>
      <c r="D19" s="29">
        <v>1681</v>
      </c>
      <c r="E19" s="197">
        <v>4841.2299999999996</v>
      </c>
      <c r="F19" s="206">
        <v>0</v>
      </c>
      <c r="G19" s="197">
        <v>0</v>
      </c>
      <c r="H19" s="206"/>
      <c r="I19" s="204">
        <v>0</v>
      </c>
      <c r="J19" s="217">
        <v>0</v>
      </c>
      <c r="K19" s="197">
        <v>0</v>
      </c>
      <c r="L19" s="206">
        <v>0</v>
      </c>
      <c r="M19" s="204">
        <v>0</v>
      </c>
      <c r="N19" s="49">
        <f>B19+D19+F19+H19+J19</f>
        <v>1681</v>
      </c>
      <c r="O19" s="20">
        <f>C19+E19+G19+I19+K19+M19</f>
        <v>4841.2299999999996</v>
      </c>
      <c r="P19" s="535">
        <f>O19*4990</f>
        <v>24157737.699999999</v>
      </c>
    </row>
    <row r="20" spans="1:17" ht="12.75" customHeight="1" x14ac:dyDescent="0.2">
      <c r="A20" s="244" t="s">
        <v>353</v>
      </c>
      <c r="B20" s="29">
        <v>0</v>
      </c>
      <c r="C20" s="197">
        <v>0</v>
      </c>
      <c r="D20" s="206">
        <v>0</v>
      </c>
      <c r="E20" s="204">
        <v>0</v>
      </c>
      <c r="F20" s="206">
        <v>0</v>
      </c>
      <c r="G20" s="197">
        <v>0</v>
      </c>
      <c r="H20" s="206"/>
      <c r="I20" s="204">
        <v>1668.29</v>
      </c>
      <c r="J20" s="217">
        <v>0</v>
      </c>
      <c r="K20" s="197">
        <v>0</v>
      </c>
      <c r="L20" s="206">
        <v>0</v>
      </c>
      <c r="M20" s="204">
        <v>0</v>
      </c>
      <c r="N20" s="49">
        <f t="shared" ref="N20:O22" si="1">(B20+D20+F20+H20+J20+L20)</f>
        <v>0</v>
      </c>
      <c r="O20" s="20">
        <f t="shared" si="1"/>
        <v>1668.29</v>
      </c>
      <c r="P20" s="535">
        <f>O20*1987</f>
        <v>3314892.23</v>
      </c>
      <c r="Q20" s="273"/>
    </row>
    <row r="21" spans="1:17" ht="12.75" customHeight="1" x14ac:dyDescent="0.2">
      <c r="A21" s="244" t="s">
        <v>354</v>
      </c>
      <c r="B21" s="29">
        <v>0</v>
      </c>
      <c r="C21" s="197">
        <v>0</v>
      </c>
      <c r="D21" s="206">
        <v>0</v>
      </c>
      <c r="E21" s="204">
        <v>0</v>
      </c>
      <c r="F21" s="206">
        <v>0</v>
      </c>
      <c r="G21" s="197">
        <v>0</v>
      </c>
      <c r="H21" s="206">
        <v>38</v>
      </c>
      <c r="I21" s="204">
        <v>243.2</v>
      </c>
      <c r="J21" s="217">
        <v>0</v>
      </c>
      <c r="K21" s="197">
        <v>0</v>
      </c>
      <c r="L21" s="206">
        <v>0</v>
      </c>
      <c r="M21" s="204">
        <v>0</v>
      </c>
      <c r="N21" s="49">
        <f t="shared" si="1"/>
        <v>38</v>
      </c>
      <c r="O21" s="20">
        <f t="shared" si="1"/>
        <v>243.2</v>
      </c>
      <c r="P21" s="540">
        <f>O21*2000</f>
        <v>486400</v>
      </c>
    </row>
    <row r="22" spans="1:17" ht="12.75" customHeight="1" x14ac:dyDescent="0.2">
      <c r="A22" s="249" t="s">
        <v>38</v>
      </c>
      <c r="B22" s="29">
        <v>0</v>
      </c>
      <c r="C22" s="197">
        <v>0</v>
      </c>
      <c r="D22" s="206">
        <v>0</v>
      </c>
      <c r="E22" s="204">
        <v>0</v>
      </c>
      <c r="F22" s="206">
        <v>0</v>
      </c>
      <c r="G22" s="197">
        <v>0</v>
      </c>
      <c r="H22" s="206"/>
      <c r="I22" s="204">
        <v>0</v>
      </c>
      <c r="J22" s="217">
        <v>0</v>
      </c>
      <c r="K22" s="197">
        <v>0</v>
      </c>
      <c r="L22" s="206">
        <v>0</v>
      </c>
      <c r="M22" s="204">
        <v>0</v>
      </c>
      <c r="N22" s="49">
        <f t="shared" si="1"/>
        <v>0</v>
      </c>
      <c r="O22" s="20">
        <f t="shared" si="1"/>
        <v>0</v>
      </c>
      <c r="P22" s="236"/>
      <c r="Q22" s="273"/>
    </row>
    <row r="23" spans="1:17" s="22" customFormat="1" ht="12.95" customHeight="1" x14ac:dyDescent="0.2">
      <c r="A23" s="12" t="s">
        <v>10</v>
      </c>
      <c r="B23" s="67">
        <f t="shared" ref="B23:N23" si="2">SUM(B12:B22)</f>
        <v>450</v>
      </c>
      <c r="C23" s="68">
        <f t="shared" si="2"/>
        <v>21609.54</v>
      </c>
      <c r="D23" s="67">
        <f t="shared" si="2"/>
        <v>2537</v>
      </c>
      <c r="E23" s="68">
        <f t="shared" si="2"/>
        <v>97196.544999999984</v>
      </c>
      <c r="F23" s="70">
        <f t="shared" si="2"/>
        <v>199</v>
      </c>
      <c r="G23" s="71">
        <f>SUM(G12:G22)</f>
        <v>43140.870999999992</v>
      </c>
      <c r="H23" s="67">
        <f t="shared" si="2"/>
        <v>2357</v>
      </c>
      <c r="I23" s="71">
        <f t="shared" si="2"/>
        <v>43212.216999999997</v>
      </c>
      <c r="J23" s="67">
        <f t="shared" si="2"/>
        <v>134</v>
      </c>
      <c r="K23" s="71">
        <f>SUM(K12:K22)</f>
        <v>96419.331999999995</v>
      </c>
      <c r="L23" s="67">
        <f t="shared" si="2"/>
        <v>1269</v>
      </c>
      <c r="M23" s="72">
        <f>SUM(M12:M22)</f>
        <v>40119.498</v>
      </c>
      <c r="N23" s="67">
        <f t="shared" si="2"/>
        <v>6946</v>
      </c>
      <c r="O23" s="71">
        <f>SUM(O12:O22)</f>
        <v>341698.00299999991</v>
      </c>
      <c r="P23" s="538">
        <f>SUM(P12:P22)</f>
        <v>154980289.39419997</v>
      </c>
    </row>
    <row r="24" spans="1:17" x14ac:dyDescent="0.2">
      <c r="A24" s="23"/>
      <c r="B24" s="24"/>
      <c r="C24" s="25"/>
      <c r="D24" s="24"/>
      <c r="E24" s="25"/>
      <c r="F24" s="24"/>
      <c r="G24" s="26"/>
      <c r="H24" s="24"/>
      <c r="I24" s="26"/>
      <c r="J24" s="24"/>
      <c r="K24" s="26"/>
      <c r="L24" s="24"/>
      <c r="M24" s="26"/>
      <c r="N24" s="27"/>
      <c r="O24" s="27"/>
      <c r="P24" s="236"/>
    </row>
    <row r="25" spans="1:17" x14ac:dyDescent="0.2">
      <c r="A25" s="4" t="s">
        <v>0</v>
      </c>
      <c r="B25" s="5" t="s">
        <v>1</v>
      </c>
      <c r="C25" s="6"/>
      <c r="D25" s="7" t="s">
        <v>2</v>
      </c>
      <c r="E25" s="8"/>
      <c r="F25" s="7" t="s">
        <v>3</v>
      </c>
      <c r="G25" s="9"/>
      <c r="H25" s="5" t="s">
        <v>4</v>
      </c>
      <c r="I25" s="9"/>
      <c r="J25" s="5" t="s">
        <v>5</v>
      </c>
      <c r="K25" s="9"/>
      <c r="L25" s="5" t="s">
        <v>6</v>
      </c>
      <c r="M25" s="9"/>
      <c r="N25" s="10" t="s">
        <v>19</v>
      </c>
      <c r="O25" s="11"/>
      <c r="P25" s="236"/>
    </row>
    <row r="26" spans="1:17" x14ac:dyDescent="0.2">
      <c r="A26" s="12" t="s">
        <v>11</v>
      </c>
      <c r="B26" s="13" t="s">
        <v>8</v>
      </c>
      <c r="C26" s="28" t="s">
        <v>9</v>
      </c>
      <c r="D26" s="13" t="s">
        <v>8</v>
      </c>
      <c r="E26" s="28" t="s">
        <v>9</v>
      </c>
      <c r="F26" s="13" t="s">
        <v>8</v>
      </c>
      <c r="G26" s="14" t="s">
        <v>9</v>
      </c>
      <c r="H26" s="4" t="s">
        <v>8</v>
      </c>
      <c r="I26" s="14" t="s">
        <v>9</v>
      </c>
      <c r="J26" s="4" t="s">
        <v>8</v>
      </c>
      <c r="K26" s="14" t="s">
        <v>9</v>
      </c>
      <c r="L26" s="4" t="s">
        <v>8</v>
      </c>
      <c r="M26" s="14" t="s">
        <v>9</v>
      </c>
      <c r="N26" s="15" t="s">
        <v>8</v>
      </c>
      <c r="O26" s="16" t="s">
        <v>9</v>
      </c>
      <c r="P26" s="539"/>
    </row>
    <row r="27" spans="1:17" x14ac:dyDescent="0.2">
      <c r="A27" s="236" t="s">
        <v>20</v>
      </c>
      <c r="B27" s="29">
        <v>0</v>
      </c>
      <c r="C27" s="218">
        <v>0</v>
      </c>
      <c r="D27" s="219">
        <v>0</v>
      </c>
      <c r="E27" s="220">
        <v>0</v>
      </c>
      <c r="F27" s="206">
        <v>0</v>
      </c>
      <c r="G27" s="203">
        <v>0</v>
      </c>
      <c r="H27" s="207">
        <v>0</v>
      </c>
      <c r="I27" s="203">
        <v>0</v>
      </c>
      <c r="J27" s="207">
        <v>0</v>
      </c>
      <c r="K27" s="203">
        <v>0</v>
      </c>
      <c r="L27" s="207">
        <v>0</v>
      </c>
      <c r="M27" s="203">
        <v>0</v>
      </c>
      <c r="N27" s="48">
        <f>SUM(+B27+D27+F27+H27+J27+L27)</f>
        <v>0</v>
      </c>
      <c r="O27" s="32">
        <f>(+C27+E27+G27+I27+K27+M27)</f>
        <v>0</v>
      </c>
      <c r="P27" s="537"/>
    </row>
    <row r="28" spans="1:17" x14ac:dyDescent="0.2">
      <c r="A28" s="236" t="s">
        <v>126</v>
      </c>
      <c r="B28" s="29">
        <f>594+9095</f>
        <v>9689</v>
      </c>
      <c r="C28" s="218">
        <f>8.118+216.694</f>
        <v>224.81199999999998</v>
      </c>
      <c r="D28" s="217">
        <f>801+10634</f>
        <v>11435</v>
      </c>
      <c r="E28" s="220">
        <f>24.616+750.275</f>
        <v>774.89099999999996</v>
      </c>
      <c r="F28" s="206">
        <f>8179+2829</f>
        <v>11008</v>
      </c>
      <c r="G28" s="203">
        <f>34.476+237.739</f>
        <v>272.21500000000003</v>
      </c>
      <c r="H28" s="207">
        <f>11806+626</f>
        <v>12432</v>
      </c>
      <c r="I28" s="203">
        <f>171.988+90.656</f>
        <v>262.64400000000001</v>
      </c>
      <c r="J28" s="207">
        <f>466+6227</f>
        <v>6693</v>
      </c>
      <c r="K28" s="221">
        <f>19.316+1118.312</f>
        <v>1137.6279999999999</v>
      </c>
      <c r="L28" s="206">
        <v>7385</v>
      </c>
      <c r="M28" s="401">
        <v>175.81100000000001</v>
      </c>
      <c r="N28" s="48">
        <f>SUM(+B28+D28+F28+H28+J28+L28)</f>
        <v>58642</v>
      </c>
      <c r="O28" s="32">
        <f>(+C28+E28+G28+I28+K28+M28)</f>
        <v>2848.0010000000002</v>
      </c>
      <c r="P28" s="236"/>
    </row>
    <row r="29" spans="1:17" x14ac:dyDescent="0.2">
      <c r="A29" s="21" t="s">
        <v>25</v>
      </c>
      <c r="B29" s="29">
        <f>1001+1989</f>
        <v>2990</v>
      </c>
      <c r="C29" s="218">
        <f>347.65+1118.62</f>
        <v>1466.27</v>
      </c>
      <c r="D29" s="217">
        <f>2497+1849</f>
        <v>4346</v>
      </c>
      <c r="E29" s="220">
        <f>1407.18+871.16</f>
        <v>2278.34</v>
      </c>
      <c r="F29" s="206">
        <f>11903+6808+5100</f>
        <v>23811</v>
      </c>
      <c r="G29" s="203">
        <f>1733.24+2661.22+5727.53</f>
        <v>10121.99</v>
      </c>
      <c r="H29" s="206">
        <v>2495</v>
      </c>
      <c r="I29" s="203">
        <v>1482.15</v>
      </c>
      <c r="J29" s="207">
        <v>0</v>
      </c>
      <c r="K29" s="203">
        <v>0</v>
      </c>
      <c r="L29" s="206">
        <f>3524+6040+15375</f>
        <v>24939</v>
      </c>
      <c r="M29" s="203">
        <f>1139.64+2621.21+6065.99</f>
        <v>9826.84</v>
      </c>
      <c r="N29" s="52">
        <f>SUM(+B29+D29+F29+H29+J29+L29)</f>
        <v>58581</v>
      </c>
      <c r="O29" s="32">
        <f>(+C29+E29+G29+I29+K29+M29)</f>
        <v>25175.59</v>
      </c>
      <c r="P29" s="535">
        <f>O29*935</f>
        <v>23539176.649999999</v>
      </c>
    </row>
    <row r="30" spans="1:17" x14ac:dyDescent="0.2">
      <c r="A30" s="236" t="s">
        <v>297</v>
      </c>
      <c r="B30" s="29">
        <f>15275+471</f>
        <v>15746</v>
      </c>
      <c r="C30" s="218">
        <f>213.19+278.87</f>
        <v>492.06</v>
      </c>
      <c r="D30" s="217">
        <f>151+66</f>
        <v>217</v>
      </c>
      <c r="E30" s="220">
        <f>169.25+52.94</f>
        <v>222.19</v>
      </c>
      <c r="F30" s="206">
        <f>355+88+960</f>
        <v>1403</v>
      </c>
      <c r="G30" s="203">
        <f>21.13+45.93+194.79</f>
        <v>261.85000000000002</v>
      </c>
      <c r="H30" s="206">
        <v>0</v>
      </c>
      <c r="I30" s="203">
        <v>0</v>
      </c>
      <c r="J30" s="207">
        <v>0</v>
      </c>
      <c r="K30" s="203">
        <v>0</v>
      </c>
      <c r="L30" s="206">
        <f>878+129+728</f>
        <v>1735</v>
      </c>
      <c r="M30" s="203">
        <f>42.94+71.7+3631.83</f>
        <v>3746.47</v>
      </c>
      <c r="N30" s="52">
        <f>B30+D30+F30+H30+J30+L30</f>
        <v>19101</v>
      </c>
      <c r="O30" s="32">
        <f>C30+E30+G30+I30+K30+M30</f>
        <v>4722.57</v>
      </c>
      <c r="P30" s="540"/>
    </row>
    <row r="31" spans="1:17" x14ac:dyDescent="0.2">
      <c r="A31" s="236" t="s">
        <v>270</v>
      </c>
      <c r="B31" s="29">
        <v>0</v>
      </c>
      <c r="C31" s="218">
        <v>0</v>
      </c>
      <c r="D31" s="217">
        <v>0</v>
      </c>
      <c r="E31" s="220">
        <v>0</v>
      </c>
      <c r="F31" s="206">
        <v>0</v>
      </c>
      <c r="G31" s="203">
        <v>0</v>
      </c>
      <c r="H31" s="206">
        <v>0</v>
      </c>
      <c r="I31" s="203">
        <v>0</v>
      </c>
      <c r="J31" s="207">
        <v>0</v>
      </c>
      <c r="K31" s="203">
        <v>0</v>
      </c>
      <c r="L31" s="206">
        <v>0</v>
      </c>
      <c r="M31" s="203">
        <v>0</v>
      </c>
      <c r="N31" s="52">
        <v>0</v>
      </c>
      <c r="O31" s="32">
        <f>C31+E31+G31+I31+K31+M31</f>
        <v>0</v>
      </c>
      <c r="P31" s="540"/>
    </row>
    <row r="32" spans="1:17" x14ac:dyDescent="0.2">
      <c r="A32" s="33" t="s">
        <v>125</v>
      </c>
      <c r="B32" s="29">
        <v>0</v>
      </c>
      <c r="C32" s="222">
        <v>0</v>
      </c>
      <c r="D32" s="217">
        <v>0</v>
      </c>
      <c r="E32" s="220">
        <v>0</v>
      </c>
      <c r="F32" s="206">
        <v>0</v>
      </c>
      <c r="G32" s="203">
        <v>0</v>
      </c>
      <c r="H32" s="223">
        <v>0</v>
      </c>
      <c r="I32" s="203">
        <v>0</v>
      </c>
      <c r="J32" s="207">
        <v>0</v>
      </c>
      <c r="K32" s="203">
        <v>0</v>
      </c>
      <c r="L32" s="206">
        <v>0</v>
      </c>
      <c r="M32" s="203">
        <v>0</v>
      </c>
      <c r="N32" s="52">
        <f>SUM(+B32+D32+F32+H32+J32+L32)</f>
        <v>0</v>
      </c>
      <c r="O32" s="32">
        <f>(+C32+E32+G32+I32+K32+M32)</f>
        <v>0</v>
      </c>
      <c r="P32" s="535">
        <f>O32*3456</f>
        <v>0</v>
      </c>
    </row>
    <row r="33" spans="1:16" x14ac:dyDescent="0.2">
      <c r="A33" s="328" t="s">
        <v>148</v>
      </c>
      <c r="B33" s="29">
        <v>0</v>
      </c>
      <c r="C33" s="218">
        <v>10026.17</v>
      </c>
      <c r="D33" s="217">
        <v>0</v>
      </c>
      <c r="E33" s="220">
        <v>0</v>
      </c>
      <c r="F33" s="206">
        <v>0</v>
      </c>
      <c r="G33" s="203">
        <f>8668.61</f>
        <v>8668.61</v>
      </c>
      <c r="H33" s="327">
        <v>0</v>
      </c>
      <c r="I33" s="203">
        <v>0</v>
      </c>
      <c r="J33" s="207">
        <v>0</v>
      </c>
      <c r="K33" s="203">
        <v>10491.72</v>
      </c>
      <c r="L33" s="206">
        <v>0</v>
      </c>
      <c r="M33" s="401">
        <v>0</v>
      </c>
      <c r="N33" s="52">
        <v>0</v>
      </c>
      <c r="O33" s="32">
        <f>(+C33+E33+G33+I33+K33+M33)</f>
        <v>29186.5</v>
      </c>
      <c r="P33" s="535">
        <f>O33*675</f>
        <v>19700887.5</v>
      </c>
    </row>
    <row r="34" spans="1:16" x14ac:dyDescent="0.2">
      <c r="A34" s="230" t="s">
        <v>237</v>
      </c>
      <c r="B34" s="29">
        <v>0</v>
      </c>
      <c r="C34" s="329">
        <v>0</v>
      </c>
      <c r="D34" s="217">
        <v>0</v>
      </c>
      <c r="E34" s="220">
        <f>25011.34+11045.76</f>
        <v>36057.1</v>
      </c>
      <c r="F34" s="206">
        <v>0</v>
      </c>
      <c r="G34" s="203">
        <v>1412.16</v>
      </c>
      <c r="H34" s="206">
        <v>0</v>
      </c>
      <c r="I34" s="203">
        <v>15013.28</v>
      </c>
      <c r="J34" s="207">
        <v>0</v>
      </c>
      <c r="K34" s="203">
        <v>0</v>
      </c>
      <c r="L34" s="206">
        <v>0</v>
      </c>
      <c r="M34" s="203">
        <v>14006.96</v>
      </c>
      <c r="N34" s="48">
        <f>B34+D34+F34+H34+J34+L34</f>
        <v>0</v>
      </c>
      <c r="O34" s="382">
        <f>C34+E34+G34+I34+K34+M34</f>
        <v>66489.5</v>
      </c>
      <c r="P34" s="535">
        <f>O34*943</f>
        <v>62699598.5</v>
      </c>
    </row>
    <row r="35" spans="1:16" x14ac:dyDescent="0.2">
      <c r="A35" s="236" t="s">
        <v>322</v>
      </c>
      <c r="B35" s="29">
        <v>0</v>
      </c>
      <c r="C35" s="218">
        <v>0</v>
      </c>
      <c r="D35" s="217">
        <v>0</v>
      </c>
      <c r="E35" s="220">
        <v>0</v>
      </c>
      <c r="F35" s="206">
        <v>3250</v>
      </c>
      <c r="G35" s="203">
        <v>3149.9</v>
      </c>
      <c r="H35" s="205">
        <v>0</v>
      </c>
      <c r="I35" s="203">
        <v>0</v>
      </c>
      <c r="J35" s="224">
        <v>0</v>
      </c>
      <c r="K35" s="203">
        <v>0</v>
      </c>
      <c r="L35" s="205">
        <v>0</v>
      </c>
      <c r="M35" s="203">
        <v>0</v>
      </c>
      <c r="N35" s="48">
        <f>SUM(+B35+D35+F35+H35+J35+L35)</f>
        <v>3250</v>
      </c>
      <c r="O35" s="32">
        <f>(+C35+E35+G35+I35+K35+M35)</f>
        <v>3149.9</v>
      </c>
      <c r="P35" s="535">
        <f>O35*1020</f>
        <v>3212898</v>
      </c>
    </row>
    <row r="36" spans="1:16" x14ac:dyDescent="0.2">
      <c r="A36" s="236" t="s">
        <v>259</v>
      </c>
      <c r="B36" s="29">
        <v>0</v>
      </c>
      <c r="C36" s="218">
        <f>27310.32</f>
        <v>27310.32</v>
      </c>
      <c r="D36" s="217">
        <v>0</v>
      </c>
      <c r="E36" s="220">
        <v>0</v>
      </c>
      <c r="F36" s="206">
        <v>0</v>
      </c>
      <c r="G36" s="203">
        <f>19411.25+10232.03+19330.81</f>
        <v>48974.09</v>
      </c>
      <c r="H36" s="206">
        <v>0</v>
      </c>
      <c r="I36" s="203">
        <v>0</v>
      </c>
      <c r="J36" s="207">
        <v>0</v>
      </c>
      <c r="K36" s="203">
        <f>19535.78+21127.55+24300.76</f>
        <v>64964.09</v>
      </c>
      <c r="L36" s="206">
        <v>0</v>
      </c>
      <c r="M36" s="203">
        <f>23354.99+30456.34</f>
        <v>53811.33</v>
      </c>
      <c r="N36" s="48">
        <f>SUM(+B36+D36+F36+H36+J36+L36)</f>
        <v>0</v>
      </c>
      <c r="O36" s="32">
        <f>(+C36+E36+G36+I36+K36+M36)</f>
        <v>195059.83000000002</v>
      </c>
      <c r="P36" s="541">
        <f>O36*500</f>
        <v>97529915.000000015</v>
      </c>
    </row>
    <row r="37" spans="1:16" x14ac:dyDescent="0.2">
      <c r="A37" s="236" t="s">
        <v>180</v>
      </c>
      <c r="B37" s="29">
        <v>480000</v>
      </c>
      <c r="C37" s="218">
        <v>24000</v>
      </c>
      <c r="D37" s="217">
        <v>0</v>
      </c>
      <c r="E37" s="220">
        <v>0</v>
      </c>
      <c r="F37" s="206">
        <v>0</v>
      </c>
      <c r="G37" s="203">
        <v>0</v>
      </c>
      <c r="H37" s="206">
        <v>0</v>
      </c>
      <c r="I37" s="203">
        <v>0</v>
      </c>
      <c r="J37" s="207">
        <v>0</v>
      </c>
      <c r="K37" s="203">
        <v>0</v>
      </c>
      <c r="L37" s="206">
        <v>0</v>
      </c>
      <c r="M37" s="203">
        <v>0</v>
      </c>
      <c r="N37" s="48">
        <f>SUM(B37,D37,F37,H37,J37,L37)</f>
        <v>480000</v>
      </c>
      <c r="O37" s="32">
        <f>SUM(C37,E37,G37,I37,K37,M37)</f>
        <v>24000</v>
      </c>
      <c r="P37" s="535">
        <f>O37*1875</f>
        <v>45000000</v>
      </c>
    </row>
    <row r="38" spans="1:16" x14ac:dyDescent="0.2">
      <c r="A38" s="12" t="s">
        <v>10</v>
      </c>
      <c r="B38" s="67">
        <f t="shared" ref="B38:I38" si="3">SUM(B27:B37)</f>
        <v>508425</v>
      </c>
      <c r="C38" s="68">
        <f t="shared" si="3"/>
        <v>63519.631999999998</v>
      </c>
      <c r="D38" s="67">
        <f t="shared" si="3"/>
        <v>15998</v>
      </c>
      <c r="E38" s="69">
        <f t="shared" si="3"/>
        <v>39332.521000000001</v>
      </c>
      <c r="F38" s="67">
        <f t="shared" si="3"/>
        <v>39472</v>
      </c>
      <c r="G38" s="71">
        <f>SUM(G27:G37)</f>
        <v>72860.815000000002</v>
      </c>
      <c r="H38" s="67">
        <f t="shared" si="3"/>
        <v>14927</v>
      </c>
      <c r="I38" s="71">
        <f t="shared" si="3"/>
        <v>16758.074000000001</v>
      </c>
      <c r="J38" s="67">
        <f t="shared" ref="J38:M38" si="4">SUM(J27:J37)</f>
        <v>6693</v>
      </c>
      <c r="K38" s="71">
        <f t="shared" si="4"/>
        <v>76593.437999999995</v>
      </c>
      <c r="L38" s="67">
        <f t="shared" si="4"/>
        <v>34059</v>
      </c>
      <c r="M38" s="71">
        <f t="shared" si="4"/>
        <v>81567.410999999993</v>
      </c>
      <c r="N38" s="67">
        <f>SUM(N27:N37)</f>
        <v>619574</v>
      </c>
      <c r="O38" s="71">
        <f>SUM(O27:O37)</f>
        <v>350631.891</v>
      </c>
      <c r="P38" s="538">
        <f>SUM(P27:P37)</f>
        <v>251682475.65000004</v>
      </c>
    </row>
    <row r="39" spans="1:16" x14ac:dyDescent="0.2">
      <c r="A39" s="37"/>
      <c r="B39" s="17" t="s">
        <v>12</v>
      </c>
      <c r="C39" s="19"/>
      <c r="E39" s="19"/>
      <c r="F39" s="50"/>
      <c r="G39" s="31"/>
      <c r="H39" s="43"/>
      <c r="I39" s="31"/>
      <c r="J39" s="38"/>
      <c r="K39" s="31"/>
      <c r="L39" s="38"/>
      <c r="M39" s="31"/>
      <c r="N39" s="35"/>
      <c r="O39" s="32"/>
      <c r="P39" s="21"/>
    </row>
    <row r="40" spans="1:16" x14ac:dyDescent="0.2">
      <c r="A40" s="36" t="s">
        <v>13</v>
      </c>
      <c r="B40" s="65">
        <f>B38+B23</f>
        <v>508875</v>
      </c>
      <c r="C40" s="66">
        <f>C38+C23</f>
        <v>85129.171999999991</v>
      </c>
      <c r="D40" s="65">
        <f>D38+D23</f>
        <v>18535</v>
      </c>
      <c r="E40" s="66">
        <f t="shared" ref="E40:M40" si="5">SUM(+E23+E38)</f>
        <v>136529.06599999999</v>
      </c>
      <c r="F40" s="65">
        <f t="shared" si="5"/>
        <v>39671</v>
      </c>
      <c r="G40" s="66">
        <f>SUM(+G23+G38)</f>
        <v>116001.68599999999</v>
      </c>
      <c r="H40" s="65">
        <f t="shared" si="5"/>
        <v>17284</v>
      </c>
      <c r="I40" s="66">
        <f>SUM(+I23+I38)</f>
        <v>59970.290999999997</v>
      </c>
      <c r="J40" s="65">
        <f t="shared" si="5"/>
        <v>6827</v>
      </c>
      <c r="K40" s="66">
        <f t="shared" si="5"/>
        <v>173012.77</v>
      </c>
      <c r="L40" s="65">
        <f t="shared" si="5"/>
        <v>35328</v>
      </c>
      <c r="M40" s="66">
        <f t="shared" si="5"/>
        <v>121686.90899999999</v>
      </c>
      <c r="N40" s="65">
        <f>SUM(+N23+N38)</f>
        <v>626520</v>
      </c>
      <c r="O40" s="317">
        <f>SUM(+O23+O38)</f>
        <v>692329.89399999985</v>
      </c>
      <c r="P40" s="585">
        <f>P23+P38</f>
        <v>406662765.0442</v>
      </c>
    </row>
    <row r="41" spans="1:16" x14ac:dyDescent="0.2">
      <c r="A41" s="63"/>
      <c r="C41" s="2"/>
      <c r="E41" s="39"/>
      <c r="O41" s="472"/>
    </row>
    <row r="42" spans="1:16" ht="15" x14ac:dyDescent="0.25">
      <c r="A42" s="399"/>
      <c r="B42" s="1"/>
      <c r="C42" s="59"/>
      <c r="D42" s="1"/>
      <c r="E42" s="210"/>
      <c r="F42" s="195"/>
      <c r="G42" s="196"/>
      <c r="H42" s="1"/>
      <c r="I42" s="1"/>
      <c r="J42" s="1"/>
      <c r="K42" s="200"/>
      <c r="L42" s="1"/>
      <c r="M42" s="41"/>
      <c r="O42" s="41"/>
    </row>
    <row r="43" spans="1:16" x14ac:dyDescent="0.2">
      <c r="A43" s="400"/>
      <c r="B43" s="1"/>
      <c r="C43" s="485"/>
      <c r="D43" s="486"/>
      <c r="E43" s="53"/>
      <c r="F43" s="486"/>
      <c r="G43" s="487"/>
      <c r="H43" s="1"/>
      <c r="I43" s="487"/>
      <c r="J43" s="1"/>
      <c r="K43" s="1"/>
      <c r="L43" s="1"/>
      <c r="M43" s="41"/>
      <c r="O43" s="41"/>
    </row>
    <row r="44" spans="1:16" x14ac:dyDescent="0.2">
      <c r="A44" s="399"/>
      <c r="B44" s="1"/>
      <c r="C44" s="485"/>
      <c r="D44" s="486"/>
      <c r="E44" s="53"/>
      <c r="F44" s="486"/>
      <c r="G44" s="487"/>
      <c r="H44" s="1"/>
      <c r="I44" s="487"/>
      <c r="J44" s="1"/>
      <c r="K44" s="1"/>
      <c r="L44" s="1"/>
      <c r="M44" s="225"/>
      <c r="O44" s="41"/>
    </row>
    <row r="45" spans="1:16" x14ac:dyDescent="0.2">
      <c r="A45" s="399"/>
      <c r="B45" s="1"/>
      <c r="C45" s="485"/>
      <c r="D45" s="486"/>
      <c r="E45" s="53"/>
      <c r="F45" s="486"/>
      <c r="G45" s="487"/>
      <c r="H45" s="1"/>
      <c r="I45" s="485"/>
      <c r="J45" s="1"/>
      <c r="K45" s="1"/>
      <c r="L45" s="1"/>
      <c r="M45" s="41"/>
      <c r="O45" s="41"/>
      <c r="P45" s="298" t="s">
        <v>12</v>
      </c>
    </row>
    <row r="46" spans="1:16" x14ac:dyDescent="0.2">
      <c r="A46" s="399"/>
      <c r="B46" s="1"/>
      <c r="C46" s="485"/>
      <c r="D46" s="486"/>
      <c r="E46" s="53"/>
      <c r="F46" s="486"/>
      <c r="G46" s="487"/>
      <c r="H46" s="1"/>
      <c r="I46" s="487"/>
      <c r="J46" s="1"/>
      <c r="K46" s="1"/>
      <c r="L46" s="1"/>
      <c r="M46" s="41"/>
      <c r="O46" s="41"/>
      <c r="P46" s="298" t="s">
        <v>12</v>
      </c>
    </row>
    <row r="47" spans="1:16" x14ac:dyDescent="0.2">
      <c r="B47" s="1"/>
      <c r="C47" s="485"/>
      <c r="D47" s="488"/>
      <c r="E47" s="53"/>
      <c r="F47" s="486"/>
      <c r="G47" s="487"/>
      <c r="H47" s="1"/>
      <c r="I47" s="487"/>
      <c r="J47" s="1"/>
      <c r="K47" s="1"/>
      <c r="L47" s="1"/>
      <c r="M47" s="41"/>
      <c r="O47" s="41"/>
    </row>
    <row r="48" spans="1:16" x14ac:dyDescent="0.2">
      <c r="B48" s="1"/>
      <c r="C48" s="485"/>
      <c r="D48" s="486"/>
      <c r="E48" s="53"/>
      <c r="F48" s="486"/>
      <c r="G48" s="486"/>
      <c r="H48" s="1"/>
      <c r="I48" s="487"/>
      <c r="J48" s="1"/>
      <c r="K48" s="1"/>
      <c r="L48" s="1"/>
      <c r="M48" s="41"/>
      <c r="O48" s="41"/>
    </row>
    <row r="49" spans="1:15" x14ac:dyDescent="0.2">
      <c r="B49" s="1"/>
      <c r="C49" s="489"/>
      <c r="D49" s="486"/>
      <c r="E49" s="490"/>
      <c r="F49" s="486"/>
      <c r="G49" s="491"/>
      <c r="H49" s="1"/>
      <c r="I49" s="491"/>
      <c r="J49" s="200"/>
      <c r="K49" s="1"/>
      <c r="L49" s="1"/>
      <c r="M49" s="41"/>
      <c r="O49" s="41"/>
    </row>
    <row r="50" spans="1:15" x14ac:dyDescent="0.2">
      <c r="B50" s="1"/>
      <c r="C50" s="59"/>
      <c r="D50" s="1"/>
      <c r="E50" s="41"/>
      <c r="F50" s="1"/>
      <c r="G50" s="1"/>
      <c r="H50" s="1"/>
      <c r="I50" s="1"/>
      <c r="J50" s="1"/>
      <c r="K50" s="1"/>
      <c r="L50" s="1"/>
      <c r="M50" s="41"/>
      <c r="O50" s="41"/>
    </row>
    <row r="51" spans="1:15" x14ac:dyDescent="0.2">
      <c r="B51" s="1"/>
      <c r="C51" s="59"/>
      <c r="D51" s="1"/>
      <c r="E51" s="41"/>
      <c r="F51" s="1"/>
      <c r="G51" s="1"/>
      <c r="H51" s="1"/>
      <c r="I51" s="1"/>
      <c r="J51" s="1"/>
      <c r="K51" s="1"/>
      <c r="L51" s="1"/>
      <c r="M51" s="41"/>
      <c r="O51" s="41"/>
    </row>
    <row r="52" spans="1:15" x14ac:dyDescent="0.2">
      <c r="B52" s="1"/>
      <c r="C52" s="59"/>
      <c r="D52" s="1"/>
      <c r="E52" s="41"/>
      <c r="F52" s="1"/>
      <c r="G52" s="1"/>
      <c r="H52" s="1"/>
      <c r="I52" s="1"/>
      <c r="J52" s="1"/>
      <c r="K52" s="1"/>
      <c r="L52" s="1"/>
      <c r="M52" s="41"/>
      <c r="O52" s="41"/>
    </row>
    <row r="53" spans="1:15" x14ac:dyDescent="0.2">
      <c r="B53" s="1"/>
      <c r="C53" s="59"/>
      <c r="D53" s="1"/>
      <c r="E53" s="41"/>
      <c r="F53" s="1"/>
      <c r="G53" s="1"/>
      <c r="H53" s="1"/>
      <c r="I53" s="1"/>
      <c r="J53" s="1"/>
      <c r="K53" s="1"/>
      <c r="L53" s="1"/>
      <c r="M53" s="41"/>
      <c r="O53" s="41"/>
    </row>
    <row r="54" spans="1:15" x14ac:dyDescent="0.2">
      <c r="B54" s="1"/>
      <c r="C54" s="59"/>
      <c r="D54" s="1"/>
      <c r="E54" s="41"/>
      <c r="F54" s="1"/>
      <c r="G54" s="1"/>
      <c r="H54" s="1"/>
      <c r="I54" s="1"/>
      <c r="J54" s="1"/>
      <c r="K54" s="1"/>
      <c r="L54" s="1"/>
      <c r="M54" s="41"/>
      <c r="O54" s="41"/>
    </row>
    <row r="55" spans="1:15" x14ac:dyDescent="0.2">
      <c r="B55" s="1"/>
      <c r="C55" s="59"/>
      <c r="D55" s="1"/>
      <c r="E55" s="41"/>
      <c r="F55" s="1"/>
      <c r="G55" s="1"/>
      <c r="H55" s="1"/>
      <c r="I55" s="1"/>
      <c r="J55" s="1"/>
      <c r="K55" s="1"/>
      <c r="L55" s="1"/>
      <c r="M55" s="41"/>
      <c r="O55" s="41"/>
    </row>
    <row r="56" spans="1:15" x14ac:dyDescent="0.2">
      <c r="B56" s="1"/>
      <c r="C56" s="59"/>
      <c r="D56" s="1"/>
      <c r="E56" s="41"/>
      <c r="F56" s="1"/>
      <c r="G56" s="1"/>
      <c r="H56" s="1"/>
      <c r="I56" s="1"/>
      <c r="J56" s="1"/>
      <c r="K56" s="1"/>
      <c r="L56" s="1"/>
      <c r="M56" s="41"/>
      <c r="O56" s="41"/>
    </row>
    <row r="57" spans="1:15" x14ac:dyDescent="0.2">
      <c r="B57" s="1"/>
      <c r="C57" s="59"/>
      <c r="D57" s="1"/>
      <c r="E57" s="41"/>
      <c r="F57" s="1"/>
      <c r="G57" s="1"/>
      <c r="H57" s="1"/>
      <c r="I57" s="1"/>
      <c r="J57" s="1"/>
      <c r="K57" s="1"/>
      <c r="L57" s="1"/>
      <c r="M57" s="41"/>
      <c r="O57" s="41"/>
    </row>
    <row r="58" spans="1:15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O58" s="41"/>
    </row>
    <row r="59" spans="1:15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O59" s="41"/>
    </row>
    <row r="60" spans="1:15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5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5" x14ac:dyDescent="0.2">
      <c r="B62" s="5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5" ht="13.5" thickBo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5" ht="21.75" thickTop="1" thickBot="1" x14ac:dyDescent="0.35">
      <c r="A64" s="615" t="s">
        <v>296</v>
      </c>
      <c r="B64" s="616"/>
      <c r="C64" s="616"/>
      <c r="D64" s="616"/>
      <c r="E64" s="616"/>
      <c r="F64" s="616"/>
      <c r="G64" s="616"/>
      <c r="H64" s="616"/>
      <c r="I64" s="616"/>
      <c r="J64" s="616"/>
      <c r="K64" s="616"/>
      <c r="L64" s="616"/>
      <c r="M64" s="616"/>
      <c r="N64" s="616"/>
      <c r="O64" s="617"/>
    </row>
    <row r="65" spans="1:18" ht="13.5" thickTop="1" x14ac:dyDescent="0.2"/>
    <row r="66" spans="1:18" x14ac:dyDescent="0.2">
      <c r="A66" s="4" t="s">
        <v>0</v>
      </c>
      <c r="B66" s="618" t="s">
        <v>32</v>
      </c>
      <c r="C66" s="619"/>
      <c r="D66" s="618" t="s">
        <v>15</v>
      </c>
      <c r="E66" s="619"/>
      <c r="F66" s="618" t="s">
        <v>28</v>
      </c>
      <c r="G66" s="619"/>
      <c r="H66" s="618" t="s">
        <v>29</v>
      </c>
      <c r="I66" s="619"/>
      <c r="J66" s="618" t="s">
        <v>30</v>
      </c>
      <c r="K66" s="619"/>
      <c r="L66" s="618" t="s">
        <v>31</v>
      </c>
      <c r="M66" s="619"/>
      <c r="N66" s="10" t="s">
        <v>7</v>
      </c>
      <c r="O66" s="11"/>
      <c r="P66" s="454" t="s">
        <v>261</v>
      </c>
    </row>
    <row r="67" spans="1:18" x14ac:dyDescent="0.2">
      <c r="A67" s="4" t="s">
        <v>24</v>
      </c>
      <c r="B67" s="13" t="s">
        <v>8</v>
      </c>
      <c r="C67" s="14" t="s">
        <v>9</v>
      </c>
      <c r="D67" s="13" t="s">
        <v>8</v>
      </c>
      <c r="E67" s="14" t="s">
        <v>9</v>
      </c>
      <c r="F67" s="4" t="s">
        <v>8</v>
      </c>
      <c r="G67" s="14" t="s">
        <v>9</v>
      </c>
      <c r="H67" s="4" t="s">
        <v>8</v>
      </c>
      <c r="I67" s="14" t="s">
        <v>9</v>
      </c>
      <c r="J67" s="13" t="s">
        <v>8</v>
      </c>
      <c r="K67" s="14" t="s">
        <v>9</v>
      </c>
      <c r="L67" s="13" t="s">
        <v>8</v>
      </c>
      <c r="M67" s="14" t="s">
        <v>9</v>
      </c>
      <c r="N67" s="15" t="s">
        <v>8</v>
      </c>
      <c r="O67" s="16" t="s">
        <v>9</v>
      </c>
      <c r="P67" s="4" t="s">
        <v>260</v>
      </c>
    </row>
    <row r="68" spans="1:18" x14ac:dyDescent="0.2">
      <c r="A68" s="279" t="s">
        <v>21</v>
      </c>
      <c r="B68" s="44">
        <v>0</v>
      </c>
      <c r="C68" s="18">
        <f>17967.86+5987.61+20320.97</f>
        <v>44276.44</v>
      </c>
      <c r="D68" s="43">
        <v>0</v>
      </c>
      <c r="E68" s="18">
        <f>24750.67+18492.07</f>
        <v>43242.74</v>
      </c>
      <c r="F68" s="44"/>
      <c r="G68" s="18">
        <f>13098</f>
        <v>13098</v>
      </c>
      <c r="H68" s="43">
        <v>0</v>
      </c>
      <c r="I68" s="19">
        <f>21480.47+10085.29</f>
        <v>31565.760000000002</v>
      </c>
      <c r="J68" s="44"/>
      <c r="K68" s="18">
        <f>8989.15+5652.92+10498.28</f>
        <v>25140.35</v>
      </c>
      <c r="L68" s="43">
        <v>0</v>
      </c>
      <c r="M68" s="19">
        <f>10497.96</f>
        <v>10497.96</v>
      </c>
      <c r="N68" s="49">
        <f t="shared" ref="N68:N76" si="6">N12+B68+D68+F68+H68+J68+L68</f>
        <v>0</v>
      </c>
      <c r="O68" s="455">
        <f>O12+C68+E68+G68+I68+K68+M68</f>
        <v>380930.75</v>
      </c>
      <c r="P68" s="460">
        <f>O68*343</f>
        <v>130659247.25</v>
      </c>
      <c r="Q68" s="498"/>
      <c r="R68" s="500"/>
    </row>
    <row r="69" spans="1:18" x14ac:dyDescent="0.2">
      <c r="A69" s="47" t="s">
        <v>26</v>
      </c>
      <c r="B69" s="44">
        <v>0</v>
      </c>
      <c r="C69" s="18">
        <v>0</v>
      </c>
      <c r="D69" s="43">
        <v>0</v>
      </c>
      <c r="E69" s="18">
        <v>0</v>
      </c>
      <c r="F69" s="44"/>
      <c r="G69" s="18">
        <v>0</v>
      </c>
      <c r="H69" s="43">
        <v>0</v>
      </c>
      <c r="I69" s="19">
        <v>0</v>
      </c>
      <c r="J69" s="29"/>
      <c r="K69" s="18">
        <v>0</v>
      </c>
      <c r="L69" s="43"/>
      <c r="M69" s="19">
        <v>0</v>
      </c>
      <c r="N69" s="49">
        <f t="shared" si="6"/>
        <v>0</v>
      </c>
      <c r="O69" s="455">
        <f>O13+C69+E69+G69+I69+K69+M69</f>
        <v>21142.510000000002</v>
      </c>
      <c r="P69" s="461">
        <f>O69*499</f>
        <v>10550112.49</v>
      </c>
      <c r="Q69" s="498"/>
      <c r="R69" s="273"/>
    </row>
    <row r="70" spans="1:18" x14ac:dyDescent="0.2">
      <c r="A70" s="47" t="s">
        <v>22</v>
      </c>
      <c r="B70" s="44">
        <v>0</v>
      </c>
      <c r="C70" s="18">
        <v>0</v>
      </c>
      <c r="D70" s="43">
        <v>0</v>
      </c>
      <c r="E70" s="18">
        <v>0</v>
      </c>
      <c r="F70" s="44"/>
      <c r="G70" s="18">
        <f>23349.02</f>
        <v>23349.02</v>
      </c>
      <c r="H70" s="43">
        <v>0</v>
      </c>
      <c r="I70" s="19">
        <v>0</v>
      </c>
      <c r="J70" s="44"/>
      <c r="K70" s="18">
        <f>15358.99</f>
        <v>15358.99</v>
      </c>
      <c r="L70" s="43"/>
      <c r="M70" s="19">
        <f>23133.12</f>
        <v>23133.119999999999</v>
      </c>
      <c r="N70" s="49">
        <f t="shared" si="6"/>
        <v>0</v>
      </c>
      <c r="O70" s="455">
        <f>O14+C70+E70+G70+I70+K70+M70</f>
        <v>84861.64</v>
      </c>
      <c r="P70" s="462">
        <f>O70*599.11</f>
        <v>50841457.1404</v>
      </c>
      <c r="Q70" s="498"/>
      <c r="R70" s="500"/>
    </row>
    <row r="71" spans="1:18" x14ac:dyDescent="0.2">
      <c r="A71" s="279" t="s">
        <v>23</v>
      </c>
      <c r="B71" s="44">
        <v>0</v>
      </c>
      <c r="C71" s="18">
        <f>24872.03</f>
        <v>24872.03</v>
      </c>
      <c r="D71" s="43">
        <v>0</v>
      </c>
      <c r="E71" s="18">
        <v>0</v>
      </c>
      <c r="F71" s="44"/>
      <c r="G71" s="18">
        <v>24846.9</v>
      </c>
      <c r="H71" s="43">
        <v>0</v>
      </c>
      <c r="I71" s="19">
        <v>0</v>
      </c>
      <c r="J71" s="44"/>
      <c r="K71" s="18">
        <v>0</v>
      </c>
      <c r="L71" s="43">
        <v>0</v>
      </c>
      <c r="M71" s="19">
        <v>25002.799999999999</v>
      </c>
      <c r="N71" s="49">
        <f t="shared" si="6"/>
        <v>0</v>
      </c>
      <c r="O71" s="455">
        <f>O15+C71+E71+G71+I71+K71+M71</f>
        <v>125098.24000000001</v>
      </c>
      <c r="P71" s="461">
        <f>O71*414.31</f>
        <v>51829451.814400002</v>
      </c>
      <c r="Q71" s="498"/>
      <c r="R71" s="500"/>
    </row>
    <row r="72" spans="1:18" x14ac:dyDescent="0.2">
      <c r="A72" s="236" t="s">
        <v>126</v>
      </c>
      <c r="B72" s="29">
        <v>834</v>
      </c>
      <c r="C72" s="18">
        <v>23.367000000000001</v>
      </c>
      <c r="D72" s="30">
        <f>3+801</f>
        <v>804</v>
      </c>
      <c r="E72" s="18">
        <f>0.11+68.94</f>
        <v>69.05</v>
      </c>
      <c r="F72" s="29">
        <v>1284</v>
      </c>
      <c r="G72" s="18">
        <v>46.177</v>
      </c>
      <c r="H72" s="30">
        <v>490</v>
      </c>
      <c r="I72" s="19">
        <v>63.219000000000001</v>
      </c>
      <c r="J72" s="29">
        <v>623</v>
      </c>
      <c r="K72" s="18">
        <v>56.396000000000001</v>
      </c>
      <c r="L72" s="30">
        <f>818+10</f>
        <v>828</v>
      </c>
      <c r="M72" s="19">
        <f>63.279+12.58</f>
        <v>75.859000000000009</v>
      </c>
      <c r="N72" s="49">
        <f t="shared" si="6"/>
        <v>10090</v>
      </c>
      <c r="O72" s="455">
        <f>O16+C72+E72+G72+I72+K72+M72</f>
        <v>770.90100000000007</v>
      </c>
      <c r="P72" s="31"/>
      <c r="Q72" s="498"/>
      <c r="R72" s="500"/>
    </row>
    <row r="73" spans="1:18" x14ac:dyDescent="0.2">
      <c r="A73" s="279" t="s">
        <v>183</v>
      </c>
      <c r="B73" s="29">
        <v>0</v>
      </c>
      <c r="C73" s="18">
        <v>0</v>
      </c>
      <c r="D73" s="30">
        <v>0</v>
      </c>
      <c r="E73" s="18">
        <v>0</v>
      </c>
      <c r="F73" s="44"/>
      <c r="G73" s="18">
        <v>0</v>
      </c>
      <c r="H73" s="43">
        <v>0</v>
      </c>
      <c r="I73" s="19">
        <v>0</v>
      </c>
      <c r="J73" s="44"/>
      <c r="K73" s="18">
        <v>0</v>
      </c>
      <c r="L73" s="30">
        <v>0</v>
      </c>
      <c r="M73" s="19">
        <v>0</v>
      </c>
      <c r="N73" s="49">
        <f t="shared" si="6"/>
        <v>0</v>
      </c>
      <c r="O73" s="456">
        <f t="shared" ref="O68:O77" si="7">O17+C73+E73+G73+I73+K73+M73</f>
        <v>0</v>
      </c>
      <c r="P73" s="461">
        <f>O73*675</f>
        <v>0</v>
      </c>
      <c r="Q73" s="498"/>
      <c r="R73" s="500"/>
    </row>
    <row r="74" spans="1:18" x14ac:dyDescent="0.2">
      <c r="A74" s="244" t="s">
        <v>387</v>
      </c>
      <c r="B74" s="44">
        <v>0</v>
      </c>
      <c r="C74" s="18">
        <v>0</v>
      </c>
      <c r="D74" s="30">
        <v>0</v>
      </c>
      <c r="E74" s="19">
        <v>0</v>
      </c>
      <c r="F74" s="44"/>
      <c r="G74" s="18">
        <v>0</v>
      </c>
      <c r="H74" s="30">
        <v>0</v>
      </c>
      <c r="I74" s="19">
        <v>0</v>
      </c>
      <c r="J74" s="44"/>
      <c r="K74" s="18">
        <v>0</v>
      </c>
      <c r="L74" s="43">
        <v>0</v>
      </c>
      <c r="M74" s="19">
        <v>0</v>
      </c>
      <c r="N74" s="49">
        <f t="shared" si="6"/>
        <v>0</v>
      </c>
      <c r="O74" s="455">
        <f>O18+C74+E74+G74+I74+K74+M74</f>
        <v>26859.42</v>
      </c>
      <c r="P74" s="591">
        <f>O74*385</f>
        <v>10340876.699999999</v>
      </c>
      <c r="R74" s="500"/>
    </row>
    <row r="75" spans="1:18" x14ac:dyDescent="0.2">
      <c r="A75" s="244" t="s">
        <v>27</v>
      </c>
      <c r="B75" s="29">
        <v>0</v>
      </c>
      <c r="C75" s="18">
        <v>0</v>
      </c>
      <c r="D75" s="30">
        <v>0</v>
      </c>
      <c r="E75" s="19">
        <v>0</v>
      </c>
      <c r="F75" s="30"/>
      <c r="G75" s="18">
        <v>0</v>
      </c>
      <c r="H75" s="30">
        <v>0</v>
      </c>
      <c r="I75" s="19">
        <v>0</v>
      </c>
      <c r="J75" s="29"/>
      <c r="K75" s="18">
        <v>0</v>
      </c>
      <c r="L75" s="30">
        <v>0</v>
      </c>
      <c r="M75" s="19">
        <v>0</v>
      </c>
      <c r="N75" s="49">
        <f t="shared" si="6"/>
        <v>1681</v>
      </c>
      <c r="O75" s="456">
        <f>O19+C75+E75+G75+I75+K75+M75</f>
        <v>4841.2299999999996</v>
      </c>
      <c r="P75" s="461">
        <f>O75*4990</f>
        <v>24157737.699999999</v>
      </c>
      <c r="R75" s="500"/>
    </row>
    <row r="76" spans="1:18" x14ac:dyDescent="0.2">
      <c r="A76" s="244" t="s">
        <v>353</v>
      </c>
      <c r="B76" s="29">
        <v>0</v>
      </c>
      <c r="C76" s="18">
        <v>0</v>
      </c>
      <c r="D76" s="30">
        <v>0</v>
      </c>
      <c r="E76" s="19">
        <v>0</v>
      </c>
      <c r="F76" s="30"/>
      <c r="G76" s="18">
        <v>29831.119999999999</v>
      </c>
      <c r="H76" s="30">
        <v>0</v>
      </c>
      <c r="I76" s="19">
        <v>0</v>
      </c>
      <c r="J76" s="29"/>
      <c r="K76" s="18">
        <v>0</v>
      </c>
      <c r="L76" s="30">
        <v>0</v>
      </c>
      <c r="M76" s="19">
        <v>0</v>
      </c>
      <c r="N76" s="49">
        <f t="shared" si="6"/>
        <v>0</v>
      </c>
      <c r="O76" s="456">
        <f>O20+C76+E76+G76+I76+K76+M76</f>
        <v>31499.41</v>
      </c>
      <c r="P76" s="461">
        <f>O76*1987</f>
        <v>62589327.670000002</v>
      </c>
      <c r="R76" s="500"/>
    </row>
    <row r="77" spans="1:18" ht="12.75" customHeight="1" x14ac:dyDescent="0.2">
      <c r="A77" s="244" t="s">
        <v>354</v>
      </c>
      <c r="B77" s="29">
        <v>0</v>
      </c>
      <c r="C77" s="18">
        <v>0</v>
      </c>
      <c r="D77" s="30">
        <v>0</v>
      </c>
      <c r="E77" s="19">
        <v>0</v>
      </c>
      <c r="F77" s="30"/>
      <c r="G77" s="18">
        <v>0</v>
      </c>
      <c r="H77" s="30">
        <v>0</v>
      </c>
      <c r="I77" s="19">
        <v>0</v>
      </c>
      <c r="J77" s="44"/>
      <c r="K77" s="18">
        <v>0</v>
      </c>
      <c r="L77" s="30">
        <f>6</f>
        <v>6</v>
      </c>
      <c r="M77" s="19">
        <v>1.29</v>
      </c>
      <c r="N77" s="49">
        <f>N21+B77+D77+F77+H77+J77+L77</f>
        <v>44</v>
      </c>
      <c r="O77" s="455">
        <f>O21+C77+E77+G77+I77+K77+M77</f>
        <v>244.48999999999998</v>
      </c>
      <c r="P77" s="21"/>
      <c r="R77" s="500"/>
    </row>
    <row r="78" spans="1:18" ht="12.75" customHeight="1" x14ac:dyDescent="0.2">
      <c r="A78" s="244" t="s">
        <v>211</v>
      </c>
      <c r="B78" s="29">
        <v>0</v>
      </c>
      <c r="C78" s="18">
        <v>0</v>
      </c>
      <c r="D78" s="30">
        <v>0</v>
      </c>
      <c r="E78" s="19">
        <v>0</v>
      </c>
      <c r="F78" s="30"/>
      <c r="G78" s="18">
        <v>0</v>
      </c>
      <c r="H78" s="30">
        <v>0</v>
      </c>
      <c r="I78" s="19">
        <v>0</v>
      </c>
      <c r="J78" s="44"/>
      <c r="K78" s="18">
        <v>0</v>
      </c>
      <c r="L78" s="30">
        <v>0</v>
      </c>
      <c r="M78" s="19">
        <v>0</v>
      </c>
      <c r="N78" s="49">
        <v>0</v>
      </c>
      <c r="O78" s="455">
        <f>C78+E78+G78+I78+K78+M78</f>
        <v>0</v>
      </c>
      <c r="P78" s="21"/>
      <c r="R78" s="500"/>
    </row>
    <row r="79" spans="1:18" x14ac:dyDescent="0.2">
      <c r="A79" s="12" t="s">
        <v>10</v>
      </c>
      <c r="B79" s="67">
        <f t="shared" ref="B79:N79" si="8">SUM(B68:B78)</f>
        <v>834</v>
      </c>
      <c r="C79" s="68">
        <f t="shared" si="8"/>
        <v>69171.837</v>
      </c>
      <c r="D79" s="67">
        <f t="shared" si="8"/>
        <v>804</v>
      </c>
      <c r="E79" s="68">
        <f t="shared" si="8"/>
        <v>43311.79</v>
      </c>
      <c r="F79" s="70">
        <f t="shared" si="8"/>
        <v>1284</v>
      </c>
      <c r="G79" s="71">
        <f>SUM(G68:G78)</f>
        <v>91171.217000000004</v>
      </c>
      <c r="H79" s="67">
        <f t="shared" si="8"/>
        <v>490</v>
      </c>
      <c r="I79" s="71">
        <f t="shared" si="8"/>
        <v>31628.979000000003</v>
      </c>
      <c r="J79" s="67">
        <f t="shared" si="8"/>
        <v>623</v>
      </c>
      <c r="K79" s="71">
        <f>SUM(K68:K78)</f>
        <v>40555.735999999997</v>
      </c>
      <c r="L79" s="67">
        <f t="shared" si="8"/>
        <v>834</v>
      </c>
      <c r="M79" s="72">
        <f>SUM(M68:M78)</f>
        <v>58711.029000000002</v>
      </c>
      <c r="N79" s="67">
        <f t="shared" si="8"/>
        <v>11815</v>
      </c>
      <c r="O79" s="457">
        <f>SUM(O68:O78)</f>
        <v>676248.59100000001</v>
      </c>
      <c r="P79" s="463">
        <f>SUM(P68:P78)</f>
        <v>340968210.76480001</v>
      </c>
      <c r="Q79" s="298"/>
      <c r="R79" s="500"/>
    </row>
    <row r="80" spans="1:18" x14ac:dyDescent="0.2">
      <c r="A80" s="23"/>
      <c r="B80" s="24"/>
      <c r="C80" s="25"/>
      <c r="D80" s="24"/>
      <c r="E80" s="25"/>
      <c r="F80" s="24"/>
      <c r="G80" s="26"/>
      <c r="H80" s="24"/>
      <c r="I80" s="26"/>
      <c r="J80" s="24"/>
      <c r="K80" s="26"/>
      <c r="L80" s="24"/>
      <c r="M80" s="26"/>
      <c r="N80" s="27"/>
      <c r="O80" s="27"/>
      <c r="P80" s="21"/>
      <c r="R80" s="500"/>
    </row>
    <row r="81" spans="1:19" x14ac:dyDescent="0.2">
      <c r="A81" s="4" t="s">
        <v>0</v>
      </c>
      <c r="B81" s="618" t="s">
        <v>14</v>
      </c>
      <c r="C81" s="619"/>
      <c r="D81" s="618" t="s">
        <v>15</v>
      </c>
      <c r="E81" s="619"/>
      <c r="F81" s="618" t="s">
        <v>28</v>
      </c>
      <c r="G81" s="619"/>
      <c r="H81" s="618" t="s">
        <v>29</v>
      </c>
      <c r="I81" s="619"/>
      <c r="J81" s="618" t="s">
        <v>30</v>
      </c>
      <c r="K81" s="619"/>
      <c r="L81" s="618" t="s">
        <v>31</v>
      </c>
      <c r="M81" s="619"/>
      <c r="N81" s="10" t="s">
        <v>19</v>
      </c>
      <c r="O81" s="10"/>
      <c r="P81" s="21"/>
      <c r="R81" s="500"/>
      <c r="S81" s="200"/>
    </row>
    <row r="82" spans="1:19" x14ac:dyDescent="0.2">
      <c r="A82" s="12" t="s">
        <v>11</v>
      </c>
      <c r="B82" s="13" t="s">
        <v>8</v>
      </c>
      <c r="C82" s="28" t="s">
        <v>9</v>
      </c>
      <c r="D82" s="13" t="s">
        <v>8</v>
      </c>
      <c r="E82" s="28" t="s">
        <v>9</v>
      </c>
      <c r="F82" s="13" t="s">
        <v>8</v>
      </c>
      <c r="G82" s="14" t="s">
        <v>9</v>
      </c>
      <c r="H82" s="4" t="s">
        <v>8</v>
      </c>
      <c r="I82" s="14" t="s">
        <v>9</v>
      </c>
      <c r="J82" s="4" t="s">
        <v>8</v>
      </c>
      <c r="K82" s="14" t="s">
        <v>9</v>
      </c>
      <c r="L82" s="4" t="s">
        <v>8</v>
      </c>
      <c r="M82" s="14" t="s">
        <v>9</v>
      </c>
      <c r="N82" s="15" t="s">
        <v>8</v>
      </c>
      <c r="O82" s="15" t="s">
        <v>9</v>
      </c>
      <c r="P82" s="464"/>
      <c r="R82" s="500"/>
      <c r="S82" s="200"/>
    </row>
    <row r="83" spans="1:19" x14ac:dyDescent="0.2">
      <c r="A83" s="236" t="s">
        <v>20</v>
      </c>
      <c r="B83" s="29">
        <v>0</v>
      </c>
      <c r="C83" s="60">
        <v>0</v>
      </c>
      <c r="D83" s="38">
        <v>0</v>
      </c>
      <c r="E83" s="61">
        <v>0</v>
      </c>
      <c r="F83" s="30">
        <v>0</v>
      </c>
      <c r="G83" s="31">
        <v>0</v>
      </c>
      <c r="H83" s="46">
        <v>0</v>
      </c>
      <c r="I83" s="31">
        <v>0</v>
      </c>
      <c r="J83" s="46">
        <v>0</v>
      </c>
      <c r="K83" s="31">
        <v>0</v>
      </c>
      <c r="L83" s="46">
        <v>0</v>
      </c>
      <c r="M83" s="31">
        <v>0</v>
      </c>
      <c r="N83" s="48">
        <f t="shared" ref="N83:O86" si="9">N27+B83+D83+F83+H83+J83+L83</f>
        <v>0</v>
      </c>
      <c r="O83" s="458">
        <f t="shared" si="9"/>
        <v>0</v>
      </c>
      <c r="P83" s="31"/>
      <c r="R83" s="500"/>
    </row>
    <row r="84" spans="1:19" x14ac:dyDescent="0.2">
      <c r="A84" s="236" t="s">
        <v>126</v>
      </c>
      <c r="B84" s="29">
        <v>12098</v>
      </c>
      <c r="C84" s="60">
        <f>325.159</f>
        <v>325.15899999999999</v>
      </c>
      <c r="D84" s="29">
        <f>10017+956</f>
        <v>10973</v>
      </c>
      <c r="E84" s="61">
        <f>231.709+19.201</f>
        <v>250.91</v>
      </c>
      <c r="F84" s="30">
        <v>7660</v>
      </c>
      <c r="G84" s="31">
        <v>2225.4090000000001</v>
      </c>
      <c r="H84" s="46">
        <v>14188</v>
      </c>
      <c r="I84" s="31">
        <v>233.25700000000001</v>
      </c>
      <c r="J84" s="46">
        <v>4792</v>
      </c>
      <c r="K84" s="40">
        <v>127.261</v>
      </c>
      <c r="L84" s="30">
        <f>3122+10941</f>
        <v>14063</v>
      </c>
      <c r="M84" s="31">
        <f>10+299.219</f>
        <v>309.21899999999999</v>
      </c>
      <c r="N84" s="48">
        <f t="shared" si="9"/>
        <v>122416</v>
      </c>
      <c r="O84" s="458">
        <f>O28+C84+E84+G84+I84+K84+M84</f>
        <v>6319.2160000000003</v>
      </c>
      <c r="P84" s="21"/>
      <c r="R84" s="500"/>
    </row>
    <row r="85" spans="1:19" x14ac:dyDescent="0.2">
      <c r="A85" s="21" t="s">
        <v>25</v>
      </c>
      <c r="B85" s="29">
        <f>3862+5160</f>
        <v>9022</v>
      </c>
      <c r="C85" s="60">
        <f>1635.91+2831.29</f>
        <v>4467.2</v>
      </c>
      <c r="D85" s="29">
        <f>19602</f>
        <v>19602</v>
      </c>
      <c r="E85" s="61">
        <f>5585.14</f>
        <v>5585.14</v>
      </c>
      <c r="F85" s="30">
        <f>5470+15523+14008</f>
        <v>35001</v>
      </c>
      <c r="G85" s="31">
        <f>6133.19+6386.7+1523.24</f>
        <v>14043.13</v>
      </c>
      <c r="H85" s="30">
        <f>3533+2373+20270</f>
        <v>26176</v>
      </c>
      <c r="I85" s="31">
        <f>946.37+1567.7+6357.32</f>
        <v>8871.39</v>
      </c>
      <c r="J85" s="46">
        <f>4387+1644+19108+4248</f>
        <v>29387</v>
      </c>
      <c r="K85" s="31">
        <f>1750.17+774.61+6203.88+1511.81</f>
        <v>10240.469999999999</v>
      </c>
      <c r="L85" s="30">
        <f>2600+5567+18820+2620</f>
        <v>29607</v>
      </c>
      <c r="M85" s="31">
        <f>1497.98+2922.97+6506.61+1560.66</f>
        <v>12488.22</v>
      </c>
      <c r="N85" s="48">
        <f t="shared" si="9"/>
        <v>207376</v>
      </c>
      <c r="O85" s="458">
        <f>O29+C85+E85+G85+I85+K85+M85</f>
        <v>80871.14</v>
      </c>
      <c r="P85" s="461">
        <f>O85*935</f>
        <v>75614515.900000006</v>
      </c>
      <c r="Q85" s="511"/>
      <c r="R85" s="500"/>
    </row>
    <row r="86" spans="1:19" x14ac:dyDescent="0.2">
      <c r="A86" s="236" t="s">
        <v>194</v>
      </c>
      <c r="B86" s="29">
        <f>6500+1916</f>
        <v>8416</v>
      </c>
      <c r="C86" s="60">
        <f>78.08+94.91</f>
        <v>172.99</v>
      </c>
      <c r="D86" s="29">
        <v>0</v>
      </c>
      <c r="E86" s="61">
        <v>0</v>
      </c>
      <c r="F86" s="30">
        <f>951</f>
        <v>951</v>
      </c>
      <c r="G86" s="31">
        <f>70.47+643.34+3218.62</f>
        <v>3932.43</v>
      </c>
      <c r="H86" s="30">
        <f>689+220</f>
        <v>909</v>
      </c>
      <c r="I86" s="31">
        <f>389.43+192.63</f>
        <v>582.05999999999995</v>
      </c>
      <c r="J86" s="46">
        <v>0</v>
      </c>
      <c r="K86" s="31">
        <f>39+43.68+36.04+36.7+624.52</f>
        <v>779.94</v>
      </c>
      <c r="L86" s="30">
        <f>5</f>
        <v>5</v>
      </c>
      <c r="M86" s="31">
        <v>3.46</v>
      </c>
      <c r="N86" s="48">
        <f t="shared" si="9"/>
        <v>29382</v>
      </c>
      <c r="O86" s="455">
        <f>O30+C86+E86+G86+I86+K86+M86</f>
        <v>10193.449999999999</v>
      </c>
      <c r="P86" s="465"/>
      <c r="Q86" s="511"/>
      <c r="R86" s="500"/>
    </row>
    <row r="87" spans="1:19" x14ac:dyDescent="0.2">
      <c r="A87" s="236" t="s">
        <v>270</v>
      </c>
      <c r="B87" s="29">
        <v>0</v>
      </c>
      <c r="C87" s="60">
        <v>0</v>
      </c>
      <c r="D87" s="29">
        <v>0</v>
      </c>
      <c r="E87" s="61">
        <v>0</v>
      </c>
      <c r="F87" s="30">
        <v>0</v>
      </c>
      <c r="G87" s="31">
        <v>0</v>
      </c>
      <c r="H87" s="30">
        <v>0</v>
      </c>
      <c r="I87" s="31">
        <v>0</v>
      </c>
      <c r="J87" s="46">
        <v>0</v>
      </c>
      <c r="K87" s="31">
        <v>0</v>
      </c>
      <c r="L87" s="30">
        <v>0</v>
      </c>
      <c r="M87" s="31">
        <v>0</v>
      </c>
      <c r="N87" s="48">
        <f>B31+D31+F31+H31+J31+L31+B87</f>
        <v>0</v>
      </c>
      <c r="O87" s="20">
        <f>C31+E31+G31+I31+K31+M31+C87</f>
        <v>0</v>
      </c>
      <c r="P87" s="465"/>
      <c r="Q87" s="511"/>
      <c r="R87" s="500"/>
    </row>
    <row r="88" spans="1:19" x14ac:dyDescent="0.2">
      <c r="A88" s="282" t="s">
        <v>144</v>
      </c>
      <c r="B88" s="29">
        <v>0</v>
      </c>
      <c r="C88" s="62">
        <v>0</v>
      </c>
      <c r="D88" s="29">
        <v>0</v>
      </c>
      <c r="E88" s="61">
        <v>0</v>
      </c>
      <c r="F88" s="30">
        <v>0</v>
      </c>
      <c r="G88" s="31">
        <v>0</v>
      </c>
      <c r="H88" s="34">
        <v>0</v>
      </c>
      <c r="I88" s="31">
        <v>0</v>
      </c>
      <c r="J88" s="46">
        <v>0</v>
      </c>
      <c r="K88" s="31">
        <v>0</v>
      </c>
      <c r="L88" s="30">
        <v>0</v>
      </c>
      <c r="M88" s="31">
        <v>0</v>
      </c>
      <c r="N88" s="48">
        <f>N32+B88+D88+F88+H88+J88+L88</f>
        <v>0</v>
      </c>
      <c r="O88" s="458">
        <f>O32+C88+E88+G88+I88+K88+M88</f>
        <v>0</v>
      </c>
      <c r="P88" s="461"/>
      <c r="Q88" s="511"/>
      <c r="R88" s="500"/>
    </row>
    <row r="89" spans="1:19" x14ac:dyDescent="0.2">
      <c r="A89" s="328" t="s">
        <v>148</v>
      </c>
      <c r="B89" s="29">
        <v>0</v>
      </c>
      <c r="C89" s="62">
        <f>7545.75</f>
        <v>7545.75</v>
      </c>
      <c r="D89" s="29">
        <v>0</v>
      </c>
      <c r="E89" s="61">
        <v>0</v>
      </c>
      <c r="F89" s="30">
        <v>0</v>
      </c>
      <c r="G89" s="31">
        <v>0</v>
      </c>
      <c r="H89" s="195">
        <v>0</v>
      </c>
      <c r="I89" s="31">
        <v>0</v>
      </c>
      <c r="J89" s="46">
        <v>0</v>
      </c>
      <c r="K89" s="31">
        <v>0</v>
      </c>
      <c r="L89" s="30">
        <v>0</v>
      </c>
      <c r="M89" s="31">
        <v>0</v>
      </c>
      <c r="N89" s="48">
        <v>0</v>
      </c>
      <c r="O89" s="458">
        <f>O33+C89+E89+G89+I89+K89+M89</f>
        <v>36732.25</v>
      </c>
      <c r="P89" s="461">
        <f>O89*675</f>
        <v>24794268.75</v>
      </c>
      <c r="Q89" s="511"/>
      <c r="R89" s="500"/>
    </row>
    <row r="90" spans="1:19" x14ac:dyDescent="0.2">
      <c r="A90" s="328" t="s">
        <v>569</v>
      </c>
      <c r="B90" s="29">
        <v>0</v>
      </c>
      <c r="C90" s="62">
        <v>0</v>
      </c>
      <c r="D90" s="29">
        <v>0</v>
      </c>
      <c r="E90" s="61">
        <v>0</v>
      </c>
      <c r="F90" s="30">
        <v>0</v>
      </c>
      <c r="G90" s="31">
        <v>0</v>
      </c>
      <c r="H90" s="195">
        <v>0</v>
      </c>
      <c r="I90" s="31">
        <v>0</v>
      </c>
      <c r="J90" s="46">
        <v>0</v>
      </c>
      <c r="K90" s="31">
        <v>0</v>
      </c>
      <c r="L90" s="30">
        <v>0</v>
      </c>
      <c r="M90" s="31">
        <v>27002.231</v>
      </c>
      <c r="N90" s="48"/>
      <c r="O90" s="458">
        <f>SUM(B90:N90)</f>
        <v>27002.231</v>
      </c>
      <c r="P90" s="461"/>
      <c r="Q90" s="511"/>
      <c r="R90" s="500"/>
    </row>
    <row r="91" spans="1:19" x14ac:dyDescent="0.2">
      <c r="A91" s="236" t="s">
        <v>237</v>
      </c>
      <c r="B91" s="29">
        <v>0</v>
      </c>
      <c r="C91" s="60">
        <f>11011.69</f>
        <v>11011.69</v>
      </c>
      <c r="D91" s="29">
        <v>0</v>
      </c>
      <c r="E91" s="61">
        <f>22044.96</f>
        <v>22044.959999999999</v>
      </c>
      <c r="F91" s="30">
        <v>0</v>
      </c>
      <c r="G91" s="31">
        <v>0</v>
      </c>
      <c r="H91" s="30">
        <v>0</v>
      </c>
      <c r="I91" s="31">
        <v>0</v>
      </c>
      <c r="J91" s="46">
        <v>0</v>
      </c>
      <c r="K91" s="31">
        <v>0</v>
      </c>
      <c r="L91" s="30">
        <v>0</v>
      </c>
      <c r="M91" s="31">
        <v>0</v>
      </c>
      <c r="N91" s="48">
        <f>N34+B91+D91+F91+H91+J91+L91</f>
        <v>0</v>
      </c>
      <c r="O91" s="458">
        <f>O34+C91+E91+G91+I91+K91+M91</f>
        <v>99546.15</v>
      </c>
      <c r="P91" s="461">
        <f>O91*943</f>
        <v>93872019.449999988</v>
      </c>
      <c r="Q91" s="511"/>
      <c r="R91" s="500"/>
    </row>
    <row r="92" spans="1:19" x14ac:dyDescent="0.2">
      <c r="A92" s="236" t="s">
        <v>288</v>
      </c>
      <c r="B92" s="29">
        <v>0</v>
      </c>
      <c r="C92" s="60">
        <v>0</v>
      </c>
      <c r="D92" s="29">
        <v>0</v>
      </c>
      <c r="E92" s="61">
        <v>0</v>
      </c>
      <c r="F92" s="30">
        <v>0</v>
      </c>
      <c r="G92" s="31">
        <v>0</v>
      </c>
      <c r="H92" s="30">
        <v>0</v>
      </c>
      <c r="I92" s="31">
        <v>0</v>
      </c>
      <c r="J92" s="46">
        <v>0</v>
      </c>
      <c r="K92" s="31">
        <v>0</v>
      </c>
      <c r="L92" s="30">
        <v>2776</v>
      </c>
      <c r="M92" s="31">
        <v>3125.65</v>
      </c>
      <c r="N92" s="48">
        <f>L92</f>
        <v>2776</v>
      </c>
      <c r="O92" s="458">
        <f>O35+C92+E92+G92+I92+K92+M92</f>
        <v>6275.55</v>
      </c>
      <c r="P92" s="461"/>
      <c r="Q92" s="511"/>
      <c r="R92" s="500"/>
    </row>
    <row r="93" spans="1:19" x14ac:dyDescent="0.2">
      <c r="A93" s="236" t="s">
        <v>286</v>
      </c>
      <c r="B93" s="29">
        <v>0</v>
      </c>
      <c r="C93" s="60">
        <v>0</v>
      </c>
      <c r="D93" s="29">
        <v>0</v>
      </c>
      <c r="E93" s="61">
        <v>0</v>
      </c>
      <c r="F93" s="30">
        <v>0</v>
      </c>
      <c r="G93" s="31">
        <v>0</v>
      </c>
      <c r="H93" s="43">
        <v>0</v>
      </c>
      <c r="I93" s="31">
        <v>0</v>
      </c>
      <c r="J93" s="42">
        <v>500</v>
      </c>
      <c r="K93" s="31">
        <v>595</v>
      </c>
      <c r="L93" s="30">
        <v>448</v>
      </c>
      <c r="M93" s="31">
        <v>521.19899999999996</v>
      </c>
      <c r="N93" s="48">
        <f>N36+B93+D93+F93+H93+J93+L93</f>
        <v>948</v>
      </c>
      <c r="O93" s="458">
        <f>C93+E93+G93+I93+K93+M93</f>
        <v>1116.1990000000001</v>
      </c>
      <c r="P93" s="21"/>
      <c r="Q93" s="511"/>
      <c r="R93" s="500"/>
    </row>
    <row r="94" spans="1:19" x14ac:dyDescent="0.2">
      <c r="A94" s="236" t="s">
        <v>259</v>
      </c>
      <c r="B94" s="29">
        <v>0</v>
      </c>
      <c r="C94" s="60">
        <f>21685.65+27608.16+24047.14</f>
        <v>73340.95</v>
      </c>
      <c r="D94" s="29">
        <v>0</v>
      </c>
      <c r="E94" s="61">
        <f>26474.57+19301.22+26438.94</f>
        <v>72214.73</v>
      </c>
      <c r="F94" s="30">
        <v>0</v>
      </c>
      <c r="G94" s="31">
        <v>14468.25</v>
      </c>
      <c r="H94" s="30">
        <v>0</v>
      </c>
      <c r="I94" s="31">
        <f>23268.24+23306.83</f>
        <v>46575.070000000007</v>
      </c>
      <c r="J94" s="46">
        <v>0</v>
      </c>
      <c r="K94" s="31">
        <f>26420.75+19325.45</f>
        <v>45746.2</v>
      </c>
      <c r="L94" s="30">
        <v>0</v>
      </c>
      <c r="M94" s="31">
        <v>26573.67</v>
      </c>
      <c r="N94" s="48">
        <v>0</v>
      </c>
      <c r="O94" s="458">
        <f>O36+C94+E94+G94+I94+K94+M94</f>
        <v>473978.7</v>
      </c>
      <c r="P94" s="461">
        <f>O94*500</f>
        <v>236989350</v>
      </c>
      <c r="Q94" s="511"/>
      <c r="R94" s="500"/>
    </row>
    <row r="95" spans="1:19" ht="12.2" customHeight="1" x14ac:dyDescent="0.2">
      <c r="A95" s="244" t="s">
        <v>155</v>
      </c>
      <c r="B95" s="29">
        <v>0</v>
      </c>
      <c r="C95" s="60">
        <v>0</v>
      </c>
      <c r="D95" s="29">
        <v>0</v>
      </c>
      <c r="E95" s="61">
        <v>0</v>
      </c>
      <c r="F95" s="30">
        <v>0</v>
      </c>
      <c r="G95" s="31">
        <v>0</v>
      </c>
      <c r="H95" s="30">
        <v>0</v>
      </c>
      <c r="I95" s="31">
        <v>0</v>
      </c>
      <c r="J95" s="46">
        <v>0</v>
      </c>
      <c r="K95" s="31">
        <v>0</v>
      </c>
      <c r="L95" s="30">
        <v>0</v>
      </c>
      <c r="M95" s="31">
        <v>0</v>
      </c>
      <c r="N95" s="48">
        <f>N37+B95+D95+F95+H95+J95+L95</f>
        <v>480000</v>
      </c>
      <c r="O95" s="458">
        <f>O37+C95+E95+G95+I95+K95+M95</f>
        <v>24000</v>
      </c>
      <c r="P95" s="461">
        <f>O95*1875</f>
        <v>45000000</v>
      </c>
      <c r="Q95" s="511"/>
      <c r="R95" s="500"/>
      <c r="S95" s="230"/>
    </row>
    <row r="96" spans="1:19" x14ac:dyDescent="0.2">
      <c r="A96" s="12" t="s">
        <v>10</v>
      </c>
      <c r="B96" s="67">
        <f>SUM(B83:B95)</f>
        <v>29536</v>
      </c>
      <c r="C96" s="68">
        <f>SUM(C83:C95)</f>
        <v>96863.739000000001</v>
      </c>
      <c r="D96" s="67">
        <f t="shared" ref="D96:L96" si="10">SUM(D83:D95)</f>
        <v>30575</v>
      </c>
      <c r="E96" s="69">
        <f>SUM(E83:E95)</f>
        <v>100095.73999999999</v>
      </c>
      <c r="F96" s="67">
        <f t="shared" si="10"/>
        <v>43612</v>
      </c>
      <c r="G96" s="71">
        <f>SUM(G83:G95)</f>
        <v>34669.218999999997</v>
      </c>
      <c r="H96" s="67">
        <f t="shared" si="10"/>
        <v>41273</v>
      </c>
      <c r="I96" s="71">
        <f>SUM(I83:I95)</f>
        <v>56261.777000000002</v>
      </c>
      <c r="J96" s="67">
        <f t="shared" si="10"/>
        <v>34679</v>
      </c>
      <c r="K96" s="71">
        <f>SUM(K83:K95)</f>
        <v>57488.870999999999</v>
      </c>
      <c r="L96" s="67">
        <f t="shared" si="10"/>
        <v>46899</v>
      </c>
      <c r="M96" s="71">
        <f>SUM(M83:M95)</f>
        <v>70023.649000000005</v>
      </c>
      <c r="N96" s="67">
        <f>SUM(N83:N95)</f>
        <v>842898</v>
      </c>
      <c r="O96" s="457">
        <f>SUM(O83:O95)</f>
        <v>766034.88599999994</v>
      </c>
      <c r="P96" s="463">
        <f>SUM(P83:P95)</f>
        <v>476270154.10000002</v>
      </c>
      <c r="Q96" s="200"/>
    </row>
    <row r="97" spans="1:19" x14ac:dyDescent="0.2">
      <c r="A97" s="37"/>
      <c r="B97" s="17" t="s">
        <v>12</v>
      </c>
      <c r="C97" s="19"/>
      <c r="E97" s="19"/>
      <c r="F97" s="50"/>
      <c r="G97" s="31"/>
      <c r="H97" s="43"/>
      <c r="I97" s="31"/>
      <c r="J97" s="38"/>
      <c r="K97" s="31"/>
      <c r="L97" s="38"/>
      <c r="M97" s="31"/>
      <c r="N97" s="35"/>
      <c r="O97" s="458"/>
      <c r="P97" s="461"/>
      <c r="S97" s="200"/>
    </row>
    <row r="98" spans="1:19" x14ac:dyDescent="0.2">
      <c r="A98" s="36" t="s">
        <v>13</v>
      </c>
      <c r="B98" s="65">
        <f>B96+B79</f>
        <v>30370</v>
      </c>
      <c r="C98" s="66">
        <f>C96+C79</f>
        <v>166035.576</v>
      </c>
      <c r="D98" s="65">
        <f>D96+D79</f>
        <v>31379</v>
      </c>
      <c r="E98" s="66">
        <f t="shared" ref="E98:N98" si="11">SUM(+E79+E96)</f>
        <v>143407.53</v>
      </c>
      <c r="F98" s="65">
        <f t="shared" si="11"/>
        <v>44896</v>
      </c>
      <c r="G98" s="66">
        <f>SUM(+G79+G96)</f>
        <v>125840.436</v>
      </c>
      <c r="H98" s="65">
        <f t="shared" si="11"/>
        <v>41763</v>
      </c>
      <c r="I98" s="66">
        <f t="shared" si="11"/>
        <v>87890.756000000008</v>
      </c>
      <c r="J98" s="65">
        <f t="shared" si="11"/>
        <v>35302</v>
      </c>
      <c r="K98" s="66">
        <f t="shared" si="11"/>
        <v>98044.606999999989</v>
      </c>
      <c r="L98" s="65">
        <f t="shared" si="11"/>
        <v>47733</v>
      </c>
      <c r="M98" s="66">
        <f t="shared" si="11"/>
        <v>128734.67800000001</v>
      </c>
      <c r="N98" s="65">
        <f t="shared" si="11"/>
        <v>854713</v>
      </c>
      <c r="O98" s="459">
        <f>SUM(+O79+O96)</f>
        <v>1442283.477</v>
      </c>
      <c r="P98" s="466">
        <f>P96+P79</f>
        <v>817238364.86479998</v>
      </c>
      <c r="R98" s="499"/>
    </row>
    <row r="99" spans="1:19" x14ac:dyDescent="0.2">
      <c r="C99" s="2"/>
      <c r="F99" s="2" t="s">
        <v>12</v>
      </c>
      <c r="I99" s="64"/>
      <c r="N99" s="55"/>
      <c r="O99" s="51"/>
    </row>
    <row r="100" spans="1:19" x14ac:dyDescent="0.2">
      <c r="B100" s="54"/>
      <c r="D100" s="54"/>
      <c r="F100" s="56" t="s">
        <v>12</v>
      </c>
      <c r="J100" s="57"/>
      <c r="N100" s="53" t="s">
        <v>12</v>
      </c>
      <c r="O100" s="58"/>
    </row>
    <row r="101" spans="1:19" x14ac:dyDescent="0.2">
      <c r="O101" s="41"/>
    </row>
    <row r="102" spans="1:19" x14ac:dyDescent="0.2">
      <c r="O102" s="41"/>
    </row>
    <row r="103" spans="1:19" x14ac:dyDescent="0.2">
      <c r="O103" s="41"/>
    </row>
    <row r="106" spans="1:19" x14ac:dyDescent="0.2">
      <c r="D106" s="509"/>
    </row>
    <row r="107" spans="1:19" x14ac:dyDescent="0.2">
      <c r="G107" s="510"/>
    </row>
  </sheetData>
  <mergeCells count="14">
    <mergeCell ref="A8:O8"/>
    <mergeCell ref="A64:O64"/>
    <mergeCell ref="B81:C81"/>
    <mergeCell ref="D81:E81"/>
    <mergeCell ref="F81:G81"/>
    <mergeCell ref="B66:C66"/>
    <mergeCell ref="D66:E66"/>
    <mergeCell ref="F66:G66"/>
    <mergeCell ref="H66:I66"/>
    <mergeCell ref="J66:K66"/>
    <mergeCell ref="L66:M66"/>
    <mergeCell ref="H81:I81"/>
    <mergeCell ref="J81:K81"/>
    <mergeCell ref="L81:M81"/>
  </mergeCells>
  <phoneticPr fontId="0" type="noConversion"/>
  <printOptions horizontalCentered="1" verticalCentered="1" gridLinesSet="0"/>
  <pageMargins left="0" right="0" top="0" bottom="0" header="0" footer="0.39370078740157483"/>
  <pageSetup paperSize="9" scale="69" orientation="landscape" r:id="rId1"/>
  <headerFooter alignWithMargins="0"/>
  <rowBreaks count="1" manualBreakCount="1">
    <brk id="52" max="15" man="1"/>
  </rowBreaks>
  <ignoredErrors>
    <ignoredError sqref="N73 N87 O19 O34 N9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04BF-DA2C-44C9-8E64-1031211AD957}">
  <dimension ref="A4:T36"/>
  <sheetViews>
    <sheetView showGridLines="0" topLeftCell="G19" zoomScaleNormal="100" workbookViewId="0">
      <selection activeCell="V25" sqref="V25"/>
    </sheetView>
  </sheetViews>
  <sheetFormatPr defaultRowHeight="15" x14ac:dyDescent="0.2"/>
  <cols>
    <col min="1" max="1" width="14" style="92" bestFit="1" customWidth="1"/>
    <col min="2" max="2" width="14" style="92" customWidth="1"/>
    <col min="3" max="3" width="9.140625" style="92" hidden="1" customWidth="1"/>
    <col min="4" max="4" width="12.42578125" style="92" customWidth="1"/>
    <col min="5" max="5" width="14" style="92" customWidth="1"/>
    <col min="6" max="6" width="21.140625" style="92" bestFit="1" customWidth="1"/>
    <col min="7" max="8" width="20.140625" style="92" bestFit="1" customWidth="1"/>
    <col min="9" max="10" width="20.5703125" style="92" bestFit="1" customWidth="1"/>
    <col min="11" max="11" width="21.140625" style="92" bestFit="1" customWidth="1"/>
    <col min="12" max="12" width="20.5703125" style="92" bestFit="1" customWidth="1"/>
    <col min="13" max="13" width="13.42578125" style="92" customWidth="1"/>
    <col min="14" max="14" width="20.5703125" style="92" bestFit="1" customWidth="1"/>
    <col min="15" max="15" width="14.28515625" style="92" bestFit="1" customWidth="1"/>
    <col min="16" max="16" width="12.28515625" style="92" bestFit="1" customWidth="1"/>
    <col min="17" max="17" width="14.28515625" style="92" bestFit="1" customWidth="1"/>
    <col min="18" max="18" width="15.5703125" style="92" bestFit="1" customWidth="1"/>
    <col min="19" max="19" width="17.5703125" style="92" bestFit="1" customWidth="1"/>
    <col min="20" max="20" width="15.5703125" style="92" bestFit="1" customWidth="1"/>
    <col min="21" max="16384" width="9.140625" style="92"/>
  </cols>
  <sheetData>
    <row r="4" spans="1:20" ht="15.75" x14ac:dyDescent="0.25">
      <c r="K4" s="624" t="s">
        <v>78</v>
      </c>
      <c r="L4" s="624"/>
      <c r="M4" s="624"/>
    </row>
    <row r="5" spans="1:20" x14ac:dyDescent="0.2">
      <c r="K5" s="626" t="s">
        <v>196</v>
      </c>
      <c r="L5" s="626"/>
      <c r="M5" s="626"/>
      <c r="N5" s="626"/>
    </row>
    <row r="6" spans="1:20" x14ac:dyDescent="0.2">
      <c r="K6" s="620" t="s">
        <v>197</v>
      </c>
      <c r="L6" s="620"/>
      <c r="M6" s="620"/>
      <c r="N6" s="620"/>
    </row>
    <row r="9" spans="1:20" ht="15.75" x14ac:dyDescent="0.25">
      <c r="A9" s="622" t="s">
        <v>81</v>
      </c>
      <c r="B9" s="622"/>
      <c r="C9" s="622"/>
      <c r="D9" s="622"/>
      <c r="E9" s="622"/>
      <c r="F9" s="622"/>
      <c r="G9" s="622"/>
      <c r="H9" s="622"/>
      <c r="I9" s="622"/>
      <c r="J9" s="622"/>
      <c r="K9" s="622"/>
      <c r="L9" s="622"/>
      <c r="M9" s="622"/>
      <c r="N9" s="622"/>
      <c r="O9" s="622"/>
      <c r="P9" s="622"/>
      <c r="Q9" s="622"/>
      <c r="R9" s="622"/>
      <c r="S9" s="622"/>
    </row>
    <row r="10" spans="1:20" ht="15.75" x14ac:dyDescent="0.25">
      <c r="A10" s="120"/>
    </row>
    <row r="11" spans="1:20" ht="15.75" x14ac:dyDescent="0.25">
      <c r="A11" s="120"/>
    </row>
    <row r="12" spans="1:20" ht="15.75" x14ac:dyDescent="0.25">
      <c r="A12" s="627" t="s">
        <v>298</v>
      </c>
      <c r="B12" s="624"/>
      <c r="C12" s="624"/>
      <c r="D12" s="624"/>
      <c r="E12" s="624"/>
      <c r="F12" s="624"/>
      <c r="G12" s="624"/>
      <c r="H12" s="624"/>
      <c r="I12" s="624"/>
      <c r="J12" s="624"/>
      <c r="K12" s="624"/>
      <c r="L12" s="624"/>
      <c r="M12" s="624"/>
      <c r="N12" s="624"/>
      <c r="O12" s="624"/>
      <c r="P12" s="624"/>
      <c r="Q12" s="624"/>
      <c r="R12" s="624"/>
      <c r="S12" s="624"/>
    </row>
    <row r="13" spans="1:20" ht="15.75" x14ac:dyDescent="0.25">
      <c r="A13" s="621" t="s">
        <v>80</v>
      </c>
      <c r="B13" s="622"/>
      <c r="C13" s="622"/>
      <c r="D13" s="622"/>
      <c r="E13" s="622"/>
      <c r="F13" s="622"/>
      <c r="G13" s="622"/>
      <c r="H13" s="622"/>
      <c r="I13" s="622"/>
      <c r="J13" s="622"/>
      <c r="K13" s="622"/>
      <c r="L13" s="622"/>
      <c r="M13" s="622"/>
      <c r="N13" s="622"/>
      <c r="O13" s="622"/>
      <c r="P13" s="622"/>
      <c r="Q13" s="622"/>
      <c r="R13" s="622"/>
    </row>
    <row r="14" spans="1:20" ht="16.5" thickBot="1" x14ac:dyDescent="0.3">
      <c r="A14" s="121" t="s">
        <v>79</v>
      </c>
      <c r="B14" s="120">
        <v>2008</v>
      </c>
      <c r="D14" s="120">
        <v>2009</v>
      </c>
      <c r="E14" s="120">
        <v>2010</v>
      </c>
      <c r="F14" s="120">
        <v>2011</v>
      </c>
      <c r="G14" s="120">
        <v>2012</v>
      </c>
      <c r="H14" s="120">
        <v>2013</v>
      </c>
      <c r="I14" s="120">
        <v>2014</v>
      </c>
      <c r="J14" s="120">
        <v>2015</v>
      </c>
      <c r="K14" s="120">
        <v>2016</v>
      </c>
      <c r="L14" s="120">
        <v>2017</v>
      </c>
      <c r="M14" s="120">
        <v>2018</v>
      </c>
      <c r="N14" s="120">
        <v>2019</v>
      </c>
      <c r="O14" s="318">
        <v>2020</v>
      </c>
      <c r="P14" s="318">
        <v>2021</v>
      </c>
      <c r="Q14" s="422">
        <v>2022</v>
      </c>
      <c r="R14" s="422">
        <v>2023</v>
      </c>
      <c r="S14" s="422">
        <v>2024</v>
      </c>
      <c r="T14" s="422">
        <v>2025</v>
      </c>
    </row>
    <row r="15" spans="1:20" ht="15.75" x14ac:dyDescent="0.25">
      <c r="A15" s="115" t="s">
        <v>64</v>
      </c>
      <c r="B15" s="114">
        <v>36347.131999999998</v>
      </c>
      <c r="D15" s="332">
        <v>27856.736000000001</v>
      </c>
      <c r="E15" s="113">
        <v>36448.557000000001</v>
      </c>
      <c r="F15" s="113">
        <v>43277.523000000001</v>
      </c>
      <c r="G15" s="116">
        <v>90690.876999999993</v>
      </c>
      <c r="H15" s="112">
        <v>58280.296999999999</v>
      </c>
      <c r="I15" s="112">
        <v>62561.735000000001</v>
      </c>
      <c r="J15" s="112">
        <v>74086.75</v>
      </c>
      <c r="K15" s="116">
        <v>28095.182000000001</v>
      </c>
      <c r="L15" s="112">
        <v>68479.69</v>
      </c>
      <c r="M15" s="113">
        <v>41453.036999999997</v>
      </c>
      <c r="N15" s="113">
        <v>76903.960999999996</v>
      </c>
      <c r="O15" s="319">
        <v>54749.440999999999</v>
      </c>
      <c r="P15" s="319">
        <v>48347.114999999998</v>
      </c>
      <c r="Q15" s="330">
        <v>66335.679999999993</v>
      </c>
      <c r="R15" s="390">
        <v>105573.344</v>
      </c>
      <c r="S15" s="383">
        <v>99919.548999999999</v>
      </c>
      <c r="T15" s="330">
        <f>'Mov. Cargas '!C40</f>
        <v>85129.171999999991</v>
      </c>
    </row>
    <row r="16" spans="1:20" ht="15.75" x14ac:dyDescent="0.25">
      <c r="A16" s="115" t="s">
        <v>63</v>
      </c>
      <c r="B16" s="114">
        <v>54623.423000000003</v>
      </c>
      <c r="D16" s="116">
        <v>73054.125</v>
      </c>
      <c r="E16" s="116">
        <v>27417.667000000001</v>
      </c>
      <c r="F16" s="116">
        <v>51227.442000000003</v>
      </c>
      <c r="G16" s="116">
        <v>70473.510999999999</v>
      </c>
      <c r="H16" s="116">
        <v>62931.875999999997</v>
      </c>
      <c r="I16" s="116">
        <v>37149.69</v>
      </c>
      <c r="J16" s="116">
        <v>59787.877999999997</v>
      </c>
      <c r="K16" s="112">
        <v>29027.701000000001</v>
      </c>
      <c r="L16" s="112">
        <v>33276.983</v>
      </c>
      <c r="M16" s="332">
        <v>13329.457</v>
      </c>
      <c r="N16" s="116">
        <v>45201.826000000001</v>
      </c>
      <c r="O16" s="330">
        <v>41704.163999999997</v>
      </c>
      <c r="P16" s="383">
        <v>89104.269</v>
      </c>
      <c r="Q16" s="330">
        <v>63245.69</v>
      </c>
      <c r="R16" s="330">
        <v>78611.937999999995</v>
      </c>
      <c r="S16" s="383">
        <v>116223.02800000001</v>
      </c>
      <c r="T16" s="390">
        <f>'Mov. Cargas '!E40</f>
        <v>136529.06599999999</v>
      </c>
    </row>
    <row r="17" spans="1:20" ht="15.75" x14ac:dyDescent="0.25">
      <c r="A17" s="115" t="s">
        <v>62</v>
      </c>
      <c r="B17" s="119">
        <v>54246.048000000003</v>
      </c>
      <c r="D17" s="113">
        <v>45696.398999999998</v>
      </c>
      <c r="E17" s="113">
        <v>54061.870999999999</v>
      </c>
      <c r="F17" s="112">
        <v>59523.578000000001</v>
      </c>
      <c r="G17" s="116">
        <v>50271.040000000001</v>
      </c>
      <c r="H17" s="112">
        <v>66184.093999999997</v>
      </c>
      <c r="I17" s="112">
        <v>50064.523999999998</v>
      </c>
      <c r="J17" s="112">
        <v>47052.500999999997</v>
      </c>
      <c r="K17" s="116">
        <v>83952.282999999996</v>
      </c>
      <c r="L17" s="116">
        <v>14830.638999999999</v>
      </c>
      <c r="M17" s="113">
        <v>44627.942000000003</v>
      </c>
      <c r="N17" s="113">
        <v>61059.055999999997</v>
      </c>
      <c r="O17" s="394">
        <v>12806.071</v>
      </c>
      <c r="P17" s="383">
        <v>38132.714999999997</v>
      </c>
      <c r="Q17" s="330">
        <v>62739.612999999998</v>
      </c>
      <c r="R17" s="383">
        <v>98722.743000000002</v>
      </c>
      <c r="S17" s="383">
        <v>104602.395</v>
      </c>
      <c r="T17" s="390">
        <f>'Mov. Cargas '!G40</f>
        <v>116001.68599999999</v>
      </c>
    </row>
    <row r="18" spans="1:20" ht="15.75" x14ac:dyDescent="0.25">
      <c r="A18" s="115" t="s">
        <v>61</v>
      </c>
      <c r="B18" s="331">
        <v>26468.934000000001</v>
      </c>
      <c r="D18" s="113">
        <v>29922.014999999999</v>
      </c>
      <c r="E18" s="112">
        <v>44387.345999999998</v>
      </c>
      <c r="F18" s="112">
        <v>33490.81</v>
      </c>
      <c r="G18" s="116">
        <v>92321.475999999995</v>
      </c>
      <c r="H18" s="112">
        <v>35357.493000000002</v>
      </c>
      <c r="I18" s="112">
        <v>73689.054000000004</v>
      </c>
      <c r="J18" s="112">
        <v>81515.066999999995</v>
      </c>
      <c r="K18" s="112">
        <v>45676.307000000001</v>
      </c>
      <c r="L18" s="112">
        <v>29591.837</v>
      </c>
      <c r="M18" s="113">
        <v>66310.785999999993</v>
      </c>
      <c r="N18" s="113">
        <v>39273.648000000001</v>
      </c>
      <c r="O18" s="330">
        <v>66704.557000000001</v>
      </c>
      <c r="P18" s="383">
        <v>107850.329</v>
      </c>
      <c r="Q18" s="330">
        <v>40542.614000000001</v>
      </c>
      <c r="R18" s="330">
        <v>64007.930999999997</v>
      </c>
      <c r="S18" s="390">
        <v>133623.04699999999</v>
      </c>
      <c r="T18" s="330">
        <f>'Mov. Cargas '!I40</f>
        <v>59970.290999999997</v>
      </c>
    </row>
    <row r="19" spans="1:20" ht="15.75" x14ac:dyDescent="0.25">
      <c r="A19" s="115" t="s">
        <v>60</v>
      </c>
      <c r="B19" s="118">
        <v>51538.737999999998</v>
      </c>
      <c r="D19" s="116">
        <v>36500.714</v>
      </c>
      <c r="E19" s="116">
        <v>70231.099000000002</v>
      </c>
      <c r="F19" s="112">
        <v>38277.684000000001</v>
      </c>
      <c r="G19" s="112">
        <v>36761.790999999997</v>
      </c>
      <c r="H19" s="112">
        <v>61953.517999999996</v>
      </c>
      <c r="I19" s="112">
        <v>58200.771999999997</v>
      </c>
      <c r="J19" s="116">
        <v>78855.088000000003</v>
      </c>
      <c r="K19" s="112">
        <v>38953.809000000001</v>
      </c>
      <c r="L19" s="116">
        <v>29992.441999999999</v>
      </c>
      <c r="M19" s="261">
        <v>37138.805999999997</v>
      </c>
      <c r="N19" s="261">
        <v>38962.26</v>
      </c>
      <c r="O19" s="330">
        <v>64262.307999999997</v>
      </c>
      <c r="P19" s="394">
        <v>27793.401000000002</v>
      </c>
      <c r="Q19" s="383">
        <v>86041.793999999994</v>
      </c>
      <c r="R19" s="330">
        <v>34485.184999999998</v>
      </c>
      <c r="S19" s="383">
        <v>139524.111</v>
      </c>
      <c r="T19" s="390">
        <f>'Mov. Cargas '!K40</f>
        <v>173012.77</v>
      </c>
    </row>
    <row r="20" spans="1:20" ht="15.75" x14ac:dyDescent="0.25">
      <c r="A20" s="115" t="s">
        <v>59</v>
      </c>
      <c r="B20" s="114">
        <v>68743.584000000003</v>
      </c>
      <c r="D20" s="332">
        <v>4407.3710000000001</v>
      </c>
      <c r="E20" s="116">
        <v>40923.974999999999</v>
      </c>
      <c r="F20" s="116">
        <v>84459.396999999997</v>
      </c>
      <c r="G20" s="116">
        <v>68212.305999999997</v>
      </c>
      <c r="H20" s="116">
        <v>64944.69</v>
      </c>
      <c r="I20" s="116">
        <v>68538.144</v>
      </c>
      <c r="J20" s="116">
        <v>41758.004000000001</v>
      </c>
      <c r="K20" s="116">
        <v>40796.29</v>
      </c>
      <c r="L20" s="112">
        <v>81768.623999999996</v>
      </c>
      <c r="M20" s="116">
        <v>88001.005999999994</v>
      </c>
      <c r="N20" s="116">
        <v>94898.07</v>
      </c>
      <c r="O20" s="330">
        <v>34858.177000000003</v>
      </c>
      <c r="P20" s="330">
        <v>49849.417000000001</v>
      </c>
      <c r="Q20" s="319">
        <v>61952.267999999996</v>
      </c>
      <c r="R20" s="383">
        <v>102978.026</v>
      </c>
      <c r="S20" s="390">
        <v>166082.19</v>
      </c>
      <c r="T20" s="330">
        <f>'Mov. Cargas '!M40</f>
        <v>121686.90899999999</v>
      </c>
    </row>
    <row r="21" spans="1:20" ht="15.75" x14ac:dyDescent="0.25">
      <c r="A21" s="115" t="s">
        <v>58</v>
      </c>
      <c r="B21" s="114">
        <v>45264.214999999997</v>
      </c>
      <c r="D21" s="113">
        <v>36883.042000000001</v>
      </c>
      <c r="E21" s="113">
        <v>56477.612999999998</v>
      </c>
      <c r="F21" s="113">
        <v>72820.668000000005</v>
      </c>
      <c r="G21" s="116">
        <v>89820.282000000007</v>
      </c>
      <c r="H21" s="113">
        <v>48170.964999999997</v>
      </c>
      <c r="I21" s="113">
        <v>71474.296000000002</v>
      </c>
      <c r="J21" s="113">
        <v>63161.781000000003</v>
      </c>
      <c r="K21" s="113">
        <v>52133.012999999999</v>
      </c>
      <c r="L21" s="112">
        <v>34124.228000000003</v>
      </c>
      <c r="M21" s="332">
        <v>28271.827000000001</v>
      </c>
      <c r="N21" s="113">
        <v>83136.588000000003</v>
      </c>
      <c r="O21" s="383">
        <v>96417.4</v>
      </c>
      <c r="P21" s="383">
        <v>35417.095000000001</v>
      </c>
      <c r="Q21" s="383">
        <v>110094.027</v>
      </c>
      <c r="R21" s="383">
        <v>117439.708</v>
      </c>
      <c r="S21" s="383">
        <v>111568.37</v>
      </c>
      <c r="T21" s="586">
        <f>'Mov. Cargas '!C98</f>
        <v>166035.576</v>
      </c>
    </row>
    <row r="22" spans="1:20" ht="15.75" x14ac:dyDescent="0.25">
      <c r="A22" s="115" t="s">
        <v>57</v>
      </c>
      <c r="B22" s="587">
        <v>138028.83600000001</v>
      </c>
      <c r="D22" s="113">
        <v>54563.616999999998</v>
      </c>
      <c r="E22" s="113">
        <v>42338.086000000003</v>
      </c>
      <c r="F22" s="113">
        <v>36145.31</v>
      </c>
      <c r="G22" s="113">
        <v>64194.972000000002</v>
      </c>
      <c r="H22" s="113">
        <v>72921.695999999996</v>
      </c>
      <c r="I22" s="113">
        <v>45833.292000000001</v>
      </c>
      <c r="J22" s="113">
        <v>69364.512000000002</v>
      </c>
      <c r="K22" s="113">
        <v>74214.914999999994</v>
      </c>
      <c r="L22" s="332">
        <v>33897.088000000003</v>
      </c>
      <c r="M22" s="113">
        <v>101800.974</v>
      </c>
      <c r="N22" s="113">
        <v>52461.836000000003</v>
      </c>
      <c r="O22" s="330">
        <v>75732.244999999995</v>
      </c>
      <c r="P22" s="330">
        <v>68350.288</v>
      </c>
      <c r="Q22" s="330">
        <v>103661.24099999999</v>
      </c>
      <c r="R22" s="330">
        <v>84104.489000000001</v>
      </c>
      <c r="S22" s="390">
        <v>147066.348</v>
      </c>
      <c r="T22" s="330">
        <f>'Mov. Cargas '!E98</f>
        <v>143407.53</v>
      </c>
    </row>
    <row r="23" spans="1:20" ht="15.75" x14ac:dyDescent="0.25">
      <c r="A23" s="115" t="s">
        <v>56</v>
      </c>
      <c r="B23" s="117">
        <v>145456.56</v>
      </c>
      <c r="D23" s="332">
        <v>26220.506000000001</v>
      </c>
      <c r="E23" s="113">
        <v>65833.088000000003</v>
      </c>
      <c r="F23" s="113">
        <v>41051.019</v>
      </c>
      <c r="G23" s="113">
        <v>55318.578000000001</v>
      </c>
      <c r="H23" s="113">
        <v>33955.915000000001</v>
      </c>
      <c r="I23" s="113">
        <v>40662.487999999998</v>
      </c>
      <c r="J23" s="113">
        <v>70017.558999999994</v>
      </c>
      <c r="K23" s="113">
        <v>85662.676000000007</v>
      </c>
      <c r="L23" s="112">
        <v>31756.558000000001</v>
      </c>
      <c r="M23" s="113">
        <v>71204.89</v>
      </c>
      <c r="N23" s="113">
        <v>41121.101999999999</v>
      </c>
      <c r="O23" s="330">
        <v>72154.009999999995</v>
      </c>
      <c r="P23" s="330">
        <v>42192.866000000002</v>
      </c>
      <c r="Q23" s="330">
        <v>32572.98</v>
      </c>
      <c r="R23" s="330">
        <v>114000.086</v>
      </c>
      <c r="S23" s="383">
        <v>126613.454</v>
      </c>
      <c r="T23" s="330">
        <f>'Mov. Cargas '!G98</f>
        <v>125840.436</v>
      </c>
    </row>
    <row r="24" spans="1:20" ht="15.75" x14ac:dyDescent="0.25">
      <c r="A24" s="115" t="s">
        <v>55</v>
      </c>
      <c r="B24" s="625">
        <v>82867.531000000003</v>
      </c>
      <c r="C24" s="625"/>
      <c r="D24" s="116">
        <v>98343.603000000003</v>
      </c>
      <c r="E24" s="116">
        <v>95115.356</v>
      </c>
      <c r="F24" s="116">
        <v>63355.464999999997</v>
      </c>
      <c r="G24" s="116">
        <v>93505.157000000007</v>
      </c>
      <c r="H24" s="116">
        <v>65137.076000000001</v>
      </c>
      <c r="I24" s="116">
        <v>73739.703999999998</v>
      </c>
      <c r="J24" s="116">
        <v>48054.038999999997</v>
      </c>
      <c r="K24" s="332">
        <v>39229.165999999997</v>
      </c>
      <c r="L24" s="261">
        <v>54042.027000000002</v>
      </c>
      <c r="M24" s="113">
        <v>60591.123</v>
      </c>
      <c r="N24" s="113">
        <v>83652.289000000004</v>
      </c>
      <c r="O24" s="383">
        <v>114551.23299999999</v>
      </c>
      <c r="P24" s="383">
        <v>66318.445000000007</v>
      </c>
      <c r="Q24" s="330">
        <v>68373.876000000004</v>
      </c>
      <c r="R24" s="330">
        <v>25239.819</v>
      </c>
      <c r="S24" s="390">
        <v>141332.878</v>
      </c>
      <c r="T24" s="330">
        <f>'Mov. Cargas '!I98</f>
        <v>87890.756000000008</v>
      </c>
    </row>
    <row r="25" spans="1:20" ht="15.75" x14ac:dyDescent="0.25">
      <c r="A25" s="115" t="s">
        <v>54</v>
      </c>
      <c r="B25" s="114">
        <v>48419.675000000003</v>
      </c>
      <c r="D25" s="113">
        <v>23462.928</v>
      </c>
      <c r="E25" s="113">
        <v>50467.137999999999</v>
      </c>
      <c r="F25" s="112">
        <v>66792.714000000007</v>
      </c>
      <c r="G25" s="113">
        <v>66031.751000000004</v>
      </c>
      <c r="H25" s="113">
        <v>36957.482000000004</v>
      </c>
      <c r="I25" s="116">
        <v>87601.345000000001</v>
      </c>
      <c r="J25" s="116">
        <v>23415.476999999999</v>
      </c>
      <c r="K25" s="116">
        <v>52598.735000000001</v>
      </c>
      <c r="L25" s="112">
        <v>45954.345000000001</v>
      </c>
      <c r="M25" s="113">
        <v>59828.724999999999</v>
      </c>
      <c r="N25" s="332">
        <v>355.58800000000002</v>
      </c>
      <c r="O25" s="330">
        <v>74183.123999999996</v>
      </c>
      <c r="P25" s="330">
        <v>66977.021999999997</v>
      </c>
      <c r="Q25" s="383">
        <v>114920.086</v>
      </c>
      <c r="R25" s="330">
        <v>103300.732</v>
      </c>
      <c r="S25" s="390">
        <v>115255.238</v>
      </c>
      <c r="T25" s="330">
        <f>'Mov. Cargas '!K98</f>
        <v>98044.606999999989</v>
      </c>
    </row>
    <row r="26" spans="1:20" ht="15.75" x14ac:dyDescent="0.25">
      <c r="A26" s="115" t="s">
        <v>53</v>
      </c>
      <c r="B26" s="114">
        <v>81574.186000000002</v>
      </c>
      <c r="D26" s="113">
        <v>70091.774000000005</v>
      </c>
      <c r="E26" s="113">
        <v>80418.894</v>
      </c>
      <c r="F26" s="113">
        <v>79001.076000000001</v>
      </c>
      <c r="G26" s="116">
        <v>100715.45600000001</v>
      </c>
      <c r="H26" s="112">
        <v>48615.966999999997</v>
      </c>
      <c r="I26" s="112">
        <v>60958.036999999997</v>
      </c>
      <c r="J26" s="112">
        <v>63040.069000000003</v>
      </c>
      <c r="K26" s="332">
        <v>36436.417000000001</v>
      </c>
      <c r="L26" s="112">
        <v>84355.452999999994</v>
      </c>
      <c r="M26" s="116">
        <v>105548.287</v>
      </c>
      <c r="N26" s="116">
        <v>124723.217</v>
      </c>
      <c r="O26" s="330">
        <v>91358.976999999999</v>
      </c>
      <c r="P26" s="330">
        <v>65046.597999999998</v>
      </c>
      <c r="Q26" s="330">
        <v>108399.889</v>
      </c>
      <c r="R26" s="330">
        <v>104760.285</v>
      </c>
      <c r="S26" s="383">
        <v>125319.9</v>
      </c>
      <c r="T26" s="390">
        <f>'Mov. Cargas '!M98</f>
        <v>128734.67800000001</v>
      </c>
    </row>
    <row r="27" spans="1:20" ht="15.75" x14ac:dyDescent="0.25">
      <c r="A27" s="115" t="s">
        <v>150</v>
      </c>
      <c r="B27" s="111">
        <f>SUM(B15:B26)</f>
        <v>833578.86199999996</v>
      </c>
      <c r="D27" s="111">
        <f t="shared" ref="D27:I27" si="0">SUM(D15:D26)</f>
        <v>527002.83000000007</v>
      </c>
      <c r="E27" s="111">
        <f t="shared" si="0"/>
        <v>664120.68999999994</v>
      </c>
      <c r="F27" s="111">
        <f t="shared" si="0"/>
        <v>669422.68599999999</v>
      </c>
      <c r="G27" s="111">
        <f t="shared" si="0"/>
        <v>878317.19699999993</v>
      </c>
      <c r="H27" s="111">
        <f t="shared" si="0"/>
        <v>655411.06899999978</v>
      </c>
      <c r="I27" s="111">
        <f t="shared" si="0"/>
        <v>730473.08100000001</v>
      </c>
      <c r="J27" s="111">
        <f t="shared" ref="J27:O27" si="1">SUM(J15:J26)</f>
        <v>720108.72499999998</v>
      </c>
      <c r="K27" s="111">
        <f t="shared" si="1"/>
        <v>606776.49399999995</v>
      </c>
      <c r="L27" s="111">
        <f t="shared" si="1"/>
        <v>542069.91399999999</v>
      </c>
      <c r="M27" s="264">
        <f t="shared" si="1"/>
        <v>718106.86</v>
      </c>
      <c r="N27" s="264">
        <f t="shared" si="1"/>
        <v>741749.44099999988</v>
      </c>
      <c r="O27" s="264">
        <f t="shared" si="1"/>
        <v>799481.70699999994</v>
      </c>
      <c r="P27" s="264">
        <f>SUM(P15:P26)</f>
        <v>705379.55999999994</v>
      </c>
      <c r="Q27" s="264">
        <f>SUM(Q15:Q26)</f>
        <v>918879.75800000003</v>
      </c>
      <c r="R27" s="264">
        <f>SUM(R15:R26)</f>
        <v>1033224.2860000001</v>
      </c>
      <c r="S27" s="264">
        <f>SUM(S15:S26)</f>
        <v>1527130.5079999999</v>
      </c>
      <c r="T27" s="526">
        <f>SUM(T15:T26)</f>
        <v>1442283.4770000002</v>
      </c>
    </row>
    <row r="28" spans="1:20" x14ac:dyDescent="0.2">
      <c r="B28" s="110"/>
      <c r="S28" s="512"/>
    </row>
    <row r="29" spans="1:20" ht="15.75" x14ac:dyDescent="0.25">
      <c r="A29" s="623" t="s">
        <v>143</v>
      </c>
      <c r="B29" s="290">
        <v>2008</v>
      </c>
      <c r="C29" s="291"/>
      <c r="D29" s="290">
        <v>2009</v>
      </c>
      <c r="E29" s="290">
        <v>2010</v>
      </c>
      <c r="F29" s="290">
        <v>2011</v>
      </c>
      <c r="G29" s="290">
        <v>2012</v>
      </c>
      <c r="H29" s="290">
        <v>2013</v>
      </c>
      <c r="I29" s="290">
        <v>2014</v>
      </c>
      <c r="J29" s="290">
        <v>2015</v>
      </c>
      <c r="K29" s="290">
        <v>2016</v>
      </c>
      <c r="L29" s="290">
        <v>2017</v>
      </c>
      <c r="M29" s="290">
        <v>2018</v>
      </c>
      <c r="N29" s="290">
        <v>2019</v>
      </c>
      <c r="O29" s="320">
        <v>2020</v>
      </c>
      <c r="P29" s="320">
        <v>2021</v>
      </c>
      <c r="Q29" s="320">
        <v>2022</v>
      </c>
      <c r="R29" s="320">
        <v>2023</v>
      </c>
      <c r="S29" s="320">
        <v>2024</v>
      </c>
      <c r="T29" s="12">
        <v>2025</v>
      </c>
    </row>
    <row r="30" spans="1:20" ht="15.75" x14ac:dyDescent="0.25">
      <c r="A30" s="623"/>
      <c r="B30" s="287">
        <v>833578.86199999996</v>
      </c>
      <c r="D30" s="287">
        <v>527002.82999999996</v>
      </c>
      <c r="E30" s="287">
        <v>664120.68999999994</v>
      </c>
      <c r="F30" s="287">
        <v>669422.68599999999</v>
      </c>
      <c r="G30" s="287">
        <v>878317.19700000004</v>
      </c>
      <c r="H30" s="287">
        <v>655411.06900000002</v>
      </c>
      <c r="I30" s="287">
        <v>730473.08100000001</v>
      </c>
      <c r="J30" s="288">
        <f t="shared" ref="J30:O30" si="2">J27</f>
        <v>720108.72499999998</v>
      </c>
      <c r="K30" s="288">
        <f t="shared" si="2"/>
        <v>606776.49399999995</v>
      </c>
      <c r="L30" s="288">
        <f t="shared" si="2"/>
        <v>542069.91399999999</v>
      </c>
      <c r="M30" s="289">
        <f t="shared" si="2"/>
        <v>718106.86</v>
      </c>
      <c r="N30" s="286">
        <f t="shared" si="2"/>
        <v>741749.44099999988</v>
      </c>
      <c r="O30" s="264">
        <f t="shared" si="2"/>
        <v>799481.70699999994</v>
      </c>
      <c r="P30" s="264">
        <f>P27</f>
        <v>705379.55999999994</v>
      </c>
      <c r="Q30" s="264">
        <f>Q27</f>
        <v>918879.75800000003</v>
      </c>
      <c r="R30" s="264">
        <f>R27</f>
        <v>1033224.2860000001</v>
      </c>
      <c r="S30" s="264">
        <f>S27</f>
        <v>1527130.5079999999</v>
      </c>
      <c r="T30" s="526">
        <f>T27</f>
        <v>1442283.4770000002</v>
      </c>
    </row>
    <row r="31" spans="1:20" ht="15.75" x14ac:dyDescent="0.25">
      <c r="A31" s="513"/>
      <c r="B31" s="514"/>
      <c r="D31" s="514"/>
      <c r="E31" s="514"/>
      <c r="F31" s="514"/>
      <c r="G31" s="514"/>
      <c r="H31" s="514"/>
      <c r="I31" s="514"/>
      <c r="J31" s="515"/>
      <c r="K31" s="515"/>
      <c r="L31" s="515"/>
      <c r="M31" s="516"/>
      <c r="N31" s="516"/>
      <c r="O31" s="516"/>
      <c r="P31" s="516"/>
      <c r="Q31" s="516"/>
      <c r="R31" s="516"/>
      <c r="S31" s="516"/>
    </row>
    <row r="32" spans="1:20" x14ac:dyDescent="0.2">
      <c r="T32" s="512"/>
    </row>
    <row r="35" spans="5:10" x14ac:dyDescent="0.2">
      <c r="E35" s="294"/>
      <c r="F35" s="294"/>
      <c r="G35" s="294"/>
      <c r="H35" s="294"/>
      <c r="I35" s="294"/>
      <c r="J35" s="294"/>
    </row>
    <row r="36" spans="5:10" x14ac:dyDescent="0.2">
      <c r="E36" s="294"/>
      <c r="F36" s="294"/>
      <c r="G36" s="294"/>
      <c r="H36" s="294"/>
      <c r="I36" s="294"/>
      <c r="J36" s="294"/>
    </row>
  </sheetData>
  <mergeCells count="8">
    <mergeCell ref="K6:N6"/>
    <mergeCell ref="A13:R13"/>
    <mergeCell ref="A29:A30"/>
    <mergeCell ref="K4:M4"/>
    <mergeCell ref="B24:C24"/>
    <mergeCell ref="K5:N5"/>
    <mergeCell ref="A9:S9"/>
    <mergeCell ref="A12:S12"/>
  </mergeCells>
  <printOptions horizontalCentered="1" verticalCentered="1"/>
  <pageMargins left="0" right="0" top="0" bottom="0" header="0.31496062992125984" footer="0.31496062992125984"/>
  <pageSetup paperSize="9" scale="56" orientation="landscape" r:id="rId1"/>
  <ignoredErrors>
    <ignoredError sqref="D27:J27 K27:L27 B27 M27:N27 O27:S2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25C-8E54-494B-A74C-4475E70D9BBB}">
  <dimension ref="A6:L57"/>
  <sheetViews>
    <sheetView showGridLines="0" topLeftCell="A40" zoomScale="85" zoomScaleNormal="85" workbookViewId="0">
      <selection activeCell="G48" sqref="G48"/>
    </sheetView>
  </sheetViews>
  <sheetFormatPr defaultRowHeight="12.75" x14ac:dyDescent="0.2"/>
  <cols>
    <col min="1" max="1" width="38" customWidth="1"/>
    <col min="2" max="2" width="32.5703125" customWidth="1"/>
    <col min="3" max="3" width="22.28515625" bestFit="1" customWidth="1"/>
    <col min="4" max="4" width="19" customWidth="1"/>
  </cols>
  <sheetData>
    <row r="6" spans="1:12" x14ac:dyDescent="0.2">
      <c r="A6" s="628" t="s">
        <v>86</v>
      </c>
      <c r="B6" s="629"/>
      <c r="C6" s="629"/>
      <c r="D6" s="629"/>
      <c r="E6" s="629"/>
      <c r="F6" s="629"/>
      <c r="G6" s="629"/>
      <c r="H6" s="629"/>
      <c r="I6" s="629"/>
      <c r="J6" s="629"/>
      <c r="K6" s="629"/>
      <c r="L6" s="629"/>
    </row>
    <row r="7" spans="1:12" ht="15" x14ac:dyDescent="0.2">
      <c r="A7" s="92"/>
      <c r="B7" s="92"/>
      <c r="C7" s="92"/>
    </row>
    <row r="8" spans="1:12" ht="15.75" x14ac:dyDescent="0.25">
      <c r="A8" s="95" t="s">
        <v>85</v>
      </c>
      <c r="B8" s="95" t="s">
        <v>84</v>
      </c>
      <c r="C8" s="95" t="s">
        <v>83</v>
      </c>
    </row>
    <row r="9" spans="1:12" ht="15" x14ac:dyDescent="0.2">
      <c r="A9" s="123" t="s">
        <v>82</v>
      </c>
      <c r="B9" s="124">
        <v>0</v>
      </c>
      <c r="C9" s="124">
        <v>0</v>
      </c>
    </row>
    <row r="10" spans="1:12" ht="15" x14ac:dyDescent="0.2">
      <c r="A10" s="123" t="s">
        <v>174</v>
      </c>
      <c r="B10" s="122">
        <f>'cargas mensal'!P17+'cargas mensal'!P18+'cargas mensal'!P19+'cargas mensal'!P20+'cargas mensal'!P21+'cargas mensal'!P22+'cargas mensal'!P23+'cargas mensal'!P24+'cargas mensal'!P25+'cargas mensal'!P26+'cargas mensal'!Q15+'cargas mensal'!Q16</f>
        <v>697509.54599999986</v>
      </c>
      <c r="C10" s="122">
        <f>B10/12</f>
        <v>58125.795499999986</v>
      </c>
    </row>
    <row r="11" spans="1:12" ht="15" x14ac:dyDescent="0.2">
      <c r="A11" s="123" t="s">
        <v>176</v>
      </c>
      <c r="B11" s="122">
        <f>'cargas mensal'!P18+'cargas mensal'!P19+'cargas mensal'!P20+'cargas mensal'!P21+'cargas mensal'!P22+'cargas mensal'!P23+'cargas mensal'!P24+'cargas mensal'!P25+'cargas mensal'!P26+'cargas mensal'!Q15+'cargas mensal'!Q16+'cargas mensal'!Q17</f>
        <v>722116.44400000002</v>
      </c>
      <c r="C11" s="260">
        <f t="shared" ref="C11:C16" si="0">B11/12</f>
        <v>60176.370333333332</v>
      </c>
    </row>
    <row r="12" spans="1:12" ht="15" x14ac:dyDescent="0.2">
      <c r="A12" s="123" t="s">
        <v>178</v>
      </c>
      <c r="B12" s="122">
        <f>'cargas mensal'!P19+'cargas mensal'!P20+'cargas mensal'!P21+'cargas mensal'!P22+'cargas mensal'!P23+'cargas mensal'!P24+'cargas mensal'!P25+'cargas mensal'!P26+'cargas mensal'!Q15+'cargas mensal'!Q16+'cargas mensal'!Q17+'cargas mensal'!Q18</f>
        <v>654808.72900000005</v>
      </c>
      <c r="C12" s="260">
        <f t="shared" si="0"/>
        <v>54567.39408333334</v>
      </c>
    </row>
    <row r="13" spans="1:12" ht="15" x14ac:dyDescent="0.2">
      <c r="A13" s="123" t="s">
        <v>179</v>
      </c>
      <c r="B13" s="122">
        <f>'cargas mensal'!P20+'cargas mensal'!P21+'cargas mensal'!P22+'cargas mensal'!P23+'cargas mensal'!P24+'cargas mensal'!P25+'cargas mensal'!P26+'cargas mensal'!Q15+'cargas mensal'!Q16+'cargas mensal'!Q17+'cargas mensal'!Q18+'cargas mensal'!Q19</f>
        <v>713057.12199999997</v>
      </c>
      <c r="C13" s="260">
        <f t="shared" si="0"/>
        <v>59421.426833333331</v>
      </c>
    </row>
    <row r="14" spans="1:12" ht="15" x14ac:dyDescent="0.2">
      <c r="A14" s="123" t="s">
        <v>181</v>
      </c>
      <c r="B14" s="122">
        <f>'cargas mensal'!P21+'cargas mensal'!P22+'cargas mensal'!P23+'cargas mensal'!P24+'cargas mensal'!P25+'cargas mensal'!P26+'cargas mensal'!Q15+'cargas mensal'!Q16+'cargas mensal'!Q17+'cargas mensal'!Q18+'cargas mensal'!Q19+'cargas mensal'!Q20</f>
        <v>725159.97300000011</v>
      </c>
      <c r="C14" s="260">
        <f t="shared" si="0"/>
        <v>60429.99775000001</v>
      </c>
    </row>
    <row r="15" spans="1:12" ht="15" x14ac:dyDescent="0.2">
      <c r="A15" s="123" t="s">
        <v>184</v>
      </c>
      <c r="B15" s="122">
        <f>'cargas mensal'!P22+'cargas mensal'!P23+'cargas mensal'!P24+'cargas mensal'!P25+'cargas mensal'!P26+'cargas mensal'!Q15+'cargas mensal'!Q16+'cargas mensal'!Q17+'cargas mensal'!Q18+'cargas mensal'!Q19+'cargas mensal'!Q20+'cargas mensal'!Q21</f>
        <v>799836.90500000014</v>
      </c>
      <c r="C15" s="260">
        <f t="shared" si="0"/>
        <v>66653.075416666674</v>
      </c>
    </row>
    <row r="16" spans="1:12" ht="15" x14ac:dyDescent="0.2">
      <c r="A16" s="123" t="s">
        <v>187</v>
      </c>
      <c r="B16" s="122">
        <f>'cargas mensal'!P23+'cargas mensal'!P24+'cargas mensal'!P25+'cargas mensal'!P26+'cargas mensal'!Q15+'cargas mensal'!Q16+'cargas mensal'!Q17+'cargas mensal'!Q18+'cargas mensal'!Q19+'cargas mensal'!Q20+'cargas mensal'!Q21+'cargas mensal'!Q22</f>
        <v>835147.85800000012</v>
      </c>
      <c r="C16" s="260">
        <f t="shared" si="0"/>
        <v>69595.654833333349</v>
      </c>
    </row>
    <row r="17" spans="1:4" ht="15" x14ac:dyDescent="0.2">
      <c r="A17" s="123" t="s">
        <v>191</v>
      </c>
      <c r="B17" s="122">
        <f>'cargas mensal'!P24+'cargas mensal'!P25+'cargas mensal'!P26+'cargas mensal'!Q15+'cargas mensal'!Q16+'cargas mensal'!Q17+'cargas mensal'!Q18+'cargas mensal'!Q19+'cargas mensal'!Q20+'cargas mensal'!Q21+'cargas mensal'!Q22+'cargas mensal'!Q23</f>
        <v>825527.97200000007</v>
      </c>
      <c r="C17" s="260">
        <f t="shared" ref="C17:C22" si="1">B17/12</f>
        <v>68793.997666666677</v>
      </c>
    </row>
    <row r="18" spans="1:4" ht="15" x14ac:dyDescent="0.2">
      <c r="A18" s="123" t="s">
        <v>192</v>
      </c>
      <c r="B18" s="122">
        <f>'cargas mensal'!P25+'cargas mensal'!P26+'cargas mensal'!Q15+'cargas mensal'!Q16+'cargas mensal'!Q17+'cargas mensal'!Q18+'cargas mensal'!Q19+'cargas mensal'!Q20+'cargas mensal'!Q21+'cargas mensal'!Q22+'cargas mensal'!Q23+'cargas mensal'!Q24</f>
        <v>827583.40300000005</v>
      </c>
      <c r="C18" s="260">
        <f t="shared" si="1"/>
        <v>68965.283583333337</v>
      </c>
    </row>
    <row r="19" spans="1:4" ht="15.75" x14ac:dyDescent="0.25">
      <c r="A19" s="391" t="s">
        <v>193</v>
      </c>
      <c r="B19" s="258">
        <f>'cargas mensal'!P26+'cargas mensal'!Q27</f>
        <v>983926.35600000003</v>
      </c>
      <c r="C19" s="293">
        <f t="shared" si="1"/>
        <v>81993.862999999998</v>
      </c>
      <c r="D19" s="395"/>
    </row>
    <row r="20" spans="1:4" ht="15" x14ac:dyDescent="0.2">
      <c r="A20" s="123" t="s">
        <v>195</v>
      </c>
      <c r="B20" s="122">
        <f>'cargas mensal'!Q27</f>
        <v>918879.75800000003</v>
      </c>
      <c r="C20" s="260">
        <f t="shared" si="1"/>
        <v>76573.313166666674</v>
      </c>
    </row>
    <row r="21" spans="1:4" ht="15" x14ac:dyDescent="0.2">
      <c r="A21" s="391" t="s">
        <v>198</v>
      </c>
      <c r="B21" s="258">
        <f>'cargas mensal'!Q16+'cargas mensal'!Q17+'cargas mensal'!Q18+'cargas mensal'!Q19+'cargas mensal'!Q20+'cargas mensal'!Q21+'cargas mensal'!Q22+'cargas mensal'!Q23+'cargas mensal'!Q24+'cargas mensal'!Q25+'cargas mensal'!Q26+'cargas mensal'!R15</f>
        <v>958117.42200000002</v>
      </c>
      <c r="C21" s="293">
        <f t="shared" si="1"/>
        <v>79843.118499999997</v>
      </c>
      <c r="D21" s="432"/>
    </row>
    <row r="22" spans="1:4" ht="15" x14ac:dyDescent="0.2">
      <c r="A22" s="123" t="s">
        <v>202</v>
      </c>
      <c r="B22" s="122">
        <f>'cargas mensal'!Q17+'cargas mensal'!Q18+'cargas mensal'!Q19+'cargas mensal'!Q20+'cargas mensal'!Q21+'cargas mensal'!Q22+'cargas mensal'!Q23+'cargas mensal'!Q24+'cargas mensal'!Q25+'cargas mensal'!Q26+'cargas mensal'!R15+'cargas mensal'!R16</f>
        <v>973483.66999999993</v>
      </c>
      <c r="C22" s="293">
        <f t="shared" si="1"/>
        <v>81123.63916666666</v>
      </c>
    </row>
    <row r="23" spans="1:4" ht="15" x14ac:dyDescent="0.2">
      <c r="A23" s="391" t="s">
        <v>206</v>
      </c>
      <c r="B23" s="437">
        <f>'cargas mensal'!Q18+'cargas mensal'!Q19+'cargas mensal'!Q20+'cargas mensal'!Q21+'cargas mensal'!Q22+'cargas mensal'!Q23+'cargas mensal'!Q24+'cargas mensal'!Q25+'cargas mensal'!Q26+'cargas mensal'!R15+'cargas mensal'!R16+'cargas mensal'!R17</f>
        <v>1009466.7999999999</v>
      </c>
      <c r="C23" s="258">
        <f t="shared" ref="C23:C28" si="2">B23/12</f>
        <v>84122.233333333323</v>
      </c>
      <c r="D23" s="432"/>
    </row>
    <row r="24" spans="1:4" ht="15" x14ac:dyDescent="0.2">
      <c r="A24" s="391" t="s">
        <v>207</v>
      </c>
      <c r="B24" s="437">
        <f>'cargas mensal'!Q19+'cargas mensal'!Q20+'cargas mensal'!Q21+'cargas mensal'!Q22+'cargas mensal'!Q23+'cargas mensal'!Q24+'cargas mensal'!Q25+'cargas mensal'!Q26+'cargas mensal'!R15+'cargas mensal'!R16+'cargas mensal'!R17+'cargas mensal'!R18</f>
        <v>1032932.1169999999</v>
      </c>
      <c r="C24" s="442">
        <f t="shared" si="2"/>
        <v>86077.676416666654</v>
      </c>
      <c r="D24" s="441"/>
    </row>
    <row r="25" spans="1:4" ht="15" x14ac:dyDescent="0.2">
      <c r="A25" s="123" t="s">
        <v>208</v>
      </c>
      <c r="B25" s="122">
        <f>'cargas mensal'!Q20+'cargas mensal'!Q21+'cargas mensal'!Q22+'cargas mensal'!Q23+'cargas mensal'!Q24+'cargas mensal'!Q25+'cargas mensal'!Q26+'cargas mensal'!R15+'cargas mensal'!R16+'cargas mensal'!R17+'cargas mensal'!R18+'cargas mensal'!R19</f>
        <v>981375.50799999991</v>
      </c>
      <c r="C25" s="122">
        <f t="shared" si="2"/>
        <v>81781.292333333331</v>
      </c>
    </row>
    <row r="26" spans="1:4" ht="15" x14ac:dyDescent="0.2">
      <c r="A26" s="123" t="s">
        <v>209</v>
      </c>
      <c r="B26" s="122">
        <f>'cargas mensal'!Q21+'cargas mensal'!Q22+'cargas mensal'!Q23+'cargas mensal'!Q24+'cargas mensal'!Q25+'cargas mensal'!Q26+'cargas mensal'!R15+'cargas mensal'!R16+'cargas mensal'!R17+'cargas mensal'!R18+'cargas mensal'!R19+'cargas mensal'!R20</f>
        <v>1022401.2659999999</v>
      </c>
      <c r="C26" s="122">
        <f t="shared" si="2"/>
        <v>85200.105499999991</v>
      </c>
    </row>
    <row r="27" spans="1:4" ht="15" x14ac:dyDescent="0.2">
      <c r="A27" s="123" t="s">
        <v>212</v>
      </c>
      <c r="B27" s="122">
        <f>'cargas mensal'!Q22+'cargas mensal'!Q23+'cargas mensal'!Q24+'cargas mensal'!Q25+'cargas mensal'!Q26+'cargas mensal'!R15+'cargas mensal'!R16+'cargas mensal'!R17+'cargas mensal'!R18+'cargas mensal'!R19+'cargas mensal'!R20+'cargas mensal'!R21</f>
        <v>1029746.9469999999</v>
      </c>
      <c r="C27" s="260">
        <f t="shared" si="2"/>
        <v>85812.245583333322</v>
      </c>
    </row>
    <row r="28" spans="1:4" ht="15" x14ac:dyDescent="0.2">
      <c r="A28" s="123" t="s">
        <v>213</v>
      </c>
      <c r="B28" s="122">
        <f>'cargas mensal'!Q23+'cargas mensal'!Q24+'cargas mensal'!Q25+'cargas mensal'!Q26+'cargas mensal'!R15+'cargas mensal'!R16+'cargas mensal'!R17+'cargas mensal'!R18+'cargas mensal'!R19+'cargas mensal'!R20+'cargas mensal'!R21+'cargas mensal'!R22</f>
        <v>1010190.1950000001</v>
      </c>
      <c r="C28" s="260">
        <f t="shared" si="2"/>
        <v>84182.516250000001</v>
      </c>
    </row>
    <row r="29" spans="1:4" ht="15.75" x14ac:dyDescent="0.25">
      <c r="A29" s="391" t="s">
        <v>236</v>
      </c>
      <c r="B29" s="258">
        <f>'cargas mensal'!Q24+'cargas mensal'!Q25+'cargas mensal'!Q26+'cargas mensal'!R15+'cargas mensal'!R16+'cargas mensal'!R17+'cargas mensal'!R18+'cargas mensal'!R19+'cargas mensal'!R20+'cargas mensal'!R21+'cargas mensal'!R22+'cargas mensal'!R23</f>
        <v>1091617.301</v>
      </c>
      <c r="C29" s="293">
        <f t="shared" ref="C29:C34" si="3">B29/12</f>
        <v>90968.10841666667</v>
      </c>
      <c r="D29" s="395"/>
    </row>
    <row r="30" spans="1:4" ht="15" x14ac:dyDescent="0.2">
      <c r="A30" s="123" t="s">
        <v>238</v>
      </c>
      <c r="B30" s="122">
        <f>'cargas mensal'!Q25+'cargas mensal'!Q26+'cargas mensal'!R15+'cargas mensal'!R16+'cargas mensal'!R17+'cargas mensal'!R18+'cargas mensal'!R19+'cargas mensal'!R20+'cargas mensal'!R21+'cargas mensal'!R22+'cargas mensal'!R23+'cargas mensal'!R24</f>
        <v>1048483.2439999999</v>
      </c>
      <c r="C30" s="260">
        <f t="shared" si="3"/>
        <v>87373.603666666662</v>
      </c>
    </row>
    <row r="31" spans="1:4" ht="15" x14ac:dyDescent="0.2">
      <c r="A31" s="123" t="s">
        <v>240</v>
      </c>
      <c r="B31" s="122">
        <f>'cargas mensal'!Q26+'cargas mensal'!R15+'cargas mensal'!R16+'cargas mensal'!R17+'cargas mensal'!R18+'cargas mensal'!R19+'cargas mensal'!R20+'cargas mensal'!R21+'cargas mensal'!R22+'cargas mensal'!R23+'cargas mensal'!R24+'cargas mensal'!R25</f>
        <v>1036863.89</v>
      </c>
      <c r="C31" s="260">
        <f t="shared" si="3"/>
        <v>86405.324166666673</v>
      </c>
    </row>
    <row r="32" spans="1:4" ht="15" x14ac:dyDescent="0.2">
      <c r="A32" s="123" t="s">
        <v>258</v>
      </c>
      <c r="B32" s="122">
        <f>'cargas mensal'!R27</f>
        <v>1033224.2860000001</v>
      </c>
      <c r="C32" s="260">
        <f t="shared" si="3"/>
        <v>86102.02383333334</v>
      </c>
    </row>
    <row r="33" spans="1:4" ht="15" x14ac:dyDescent="0.2">
      <c r="A33" s="123" t="s">
        <v>262</v>
      </c>
      <c r="B33" s="122">
        <f>'cargas mensal'!R16+'cargas mensal'!R17+'cargas mensal'!R18+'cargas mensal'!R19+'cargas mensal'!R20+'cargas mensal'!R21+'cargas mensal'!R22+'cargas mensal'!R23+'cargas mensal'!R24+'cargas mensal'!R25+'cargas mensal'!R26+'cargas mensal'!S15</f>
        <v>1027570.491</v>
      </c>
      <c r="C33" s="260">
        <f t="shared" si="3"/>
        <v>85630.874250000008</v>
      </c>
    </row>
    <row r="34" spans="1:4" ht="15" x14ac:dyDescent="0.2">
      <c r="A34" s="123" t="s">
        <v>266</v>
      </c>
      <c r="B34" s="122">
        <f>'cargas mensal'!R17+'cargas mensal'!R18+'cargas mensal'!R19+'cargas mensal'!R20+'cargas mensal'!R21+'cargas mensal'!R22+'cargas mensal'!R23+'cargas mensal'!R24+'cargas mensal'!R25+'cargas mensal'!R26+'cargas mensal'!S15+'cargas mensal'!S16</f>
        <v>1065181.581</v>
      </c>
      <c r="C34" s="293">
        <f t="shared" si="3"/>
        <v>88765.13175</v>
      </c>
    </row>
    <row r="35" spans="1:4" ht="15" x14ac:dyDescent="0.2">
      <c r="A35" s="123" t="s">
        <v>268</v>
      </c>
      <c r="B35" s="122">
        <f>'cargas mensal'!R18+'cargas mensal'!R19+'cargas mensal'!R20+'cargas mensal'!R21+'cargas mensal'!R22+'cargas mensal'!R23+'cargas mensal'!R24+'cargas mensal'!R25+'cargas mensal'!R26+'cargas mensal'!S15+'cargas mensal'!S16+'cargas mensal'!S17</f>
        <v>1071061.233</v>
      </c>
      <c r="C35" s="258">
        <f t="shared" ref="C35:C39" si="4">B35/12</f>
        <v>89255.102750000005</v>
      </c>
    </row>
    <row r="36" spans="1:4" ht="15" x14ac:dyDescent="0.2">
      <c r="A36" s="123" t="s">
        <v>271</v>
      </c>
      <c r="B36" s="122">
        <f>'cargas mensal'!R19+'cargas mensal'!R20+'cargas mensal'!R21+'cargas mensal'!R22+'cargas mensal'!R23+'cargas mensal'!R24+'cargas mensal'!R25+'cargas mensal'!R26+'cargas mensal'!S15+'cargas mensal'!S16+'cargas mensal'!S17+'cargas mensal'!S18</f>
        <v>1140676.3490000002</v>
      </c>
      <c r="C36" s="293">
        <f t="shared" si="4"/>
        <v>95056.362416666685</v>
      </c>
    </row>
    <row r="37" spans="1:4" ht="15" x14ac:dyDescent="0.2">
      <c r="A37" s="123" t="s">
        <v>276</v>
      </c>
      <c r="B37" s="122">
        <f>'cargas mensal'!R20+'cargas mensal'!R21+'cargas mensal'!R22+'cargas mensal'!R23+'cargas mensal'!R24+'cargas mensal'!R25+'cargas mensal'!R26+'cargas mensal'!S15+'cargas mensal'!S16+'cargas mensal'!S17+'cargas mensal'!S18+'cargas mensal'!S19</f>
        <v>1245715.2750000001</v>
      </c>
      <c r="C37" s="260">
        <f t="shared" si="4"/>
        <v>103809.60625000001</v>
      </c>
    </row>
    <row r="38" spans="1:4" ht="15" x14ac:dyDescent="0.2">
      <c r="A38" s="123" t="s">
        <v>277</v>
      </c>
      <c r="B38" s="122">
        <f>'cargas mensal'!R21+'cargas mensal'!R22+'cargas mensal'!R23+'cargas mensal'!R24+'cargas mensal'!R25+'cargas mensal'!R26+'cargas mensal'!S15+'cargas mensal'!S16+'cargas mensal'!S17+'cargas mensal'!S18+'cargas mensal'!S19+'cargas mensal'!S20</f>
        <v>1308819.439</v>
      </c>
      <c r="C38" s="260">
        <f t="shared" si="4"/>
        <v>109068.28658333333</v>
      </c>
    </row>
    <row r="39" spans="1:4" ht="15" x14ac:dyDescent="0.2">
      <c r="A39" s="123" t="s">
        <v>278</v>
      </c>
      <c r="B39" s="122">
        <f>'cargas mensal'!R22+'cargas mensal'!R23+'cargas mensal'!R24+'cargas mensal'!R25+'cargas mensal'!R26+'cargas mensal'!S15+'cargas mensal'!S16+'cargas mensal'!S17+'cargas mensal'!S18+'cargas mensal'!S19+'cargas mensal'!S20+'cargas mensal'!S21</f>
        <v>1302948.1010000003</v>
      </c>
      <c r="C39" s="260">
        <f t="shared" si="4"/>
        <v>108579.00841666669</v>
      </c>
    </row>
    <row r="40" spans="1:4" ht="15" x14ac:dyDescent="0.2">
      <c r="A40" s="123" t="s">
        <v>279</v>
      </c>
      <c r="B40" s="122">
        <f>'cargas mensal'!R23+'cargas mensal'!R24+'cargas mensal'!R25+'cargas mensal'!R26+'cargas mensal'!S15+'cargas mensal'!S16+'cargas mensal'!S17+'cargas mensal'!S18+'cargas mensal'!S19+'cargas mensal'!S20+'cargas mensal'!S21+'cargas mensal'!S22</f>
        <v>1365909.9600000002</v>
      </c>
      <c r="C40" s="260">
        <f t="shared" ref="C40:C45" si="5">B40/12</f>
        <v>113825.83000000002</v>
      </c>
    </row>
    <row r="41" spans="1:4" ht="15" x14ac:dyDescent="0.2">
      <c r="A41" s="123" t="s">
        <v>281</v>
      </c>
      <c r="B41" s="122">
        <f>'cargas mensal'!R24+'cargas mensal'!R25+'cargas mensal'!R26+'cargas mensal'!S15+'cargas mensal'!S16+'cargas mensal'!S17+'cargas mensal'!S18+'cargas mensal'!S19+'cargas mensal'!S20+'cargas mensal'!S21+'cargas mensal'!S22+'cargas mensal'!S23</f>
        <v>1378523.328</v>
      </c>
      <c r="C41" s="260">
        <f t="shared" si="5"/>
        <v>114876.944</v>
      </c>
      <c r="D41" s="441"/>
    </row>
    <row r="42" spans="1:4" ht="15" x14ac:dyDescent="0.2">
      <c r="A42" s="123" t="s">
        <v>284</v>
      </c>
      <c r="B42" s="122">
        <f>'cargas mensal'!R25+'cargas mensal'!R26+'cargas mensal'!S15+'cargas mensal'!S16+'cargas mensal'!S17+'cargas mensal'!S18+'cargas mensal'!S19+'cargas mensal'!S20+'cargas mensal'!S21+'cargas mensal'!S22+'cargas mensal'!S23+'cargas mensal'!S24</f>
        <v>1494616.3869999999</v>
      </c>
      <c r="C42" s="260">
        <f t="shared" si="5"/>
        <v>124551.36558333332</v>
      </c>
    </row>
    <row r="43" spans="1:4" ht="15" x14ac:dyDescent="0.2">
      <c r="A43" s="123" t="s">
        <v>287</v>
      </c>
      <c r="B43" s="122">
        <f>'cargas mensal'!R26+'cargas mensal'!S15+'cargas mensal'!S16+'cargas mensal'!S17+'cargas mensal'!S18+'cargas mensal'!S19+'cargas mensal'!S20+'cargas mensal'!S21+'cargas mensal'!S22+'cargas mensal'!S23+'cargas mensal'!S24+'cargas mensal'!S25</f>
        <v>1506570.8929999997</v>
      </c>
      <c r="C43" s="260">
        <f t="shared" si="5"/>
        <v>125547.57441666664</v>
      </c>
    </row>
    <row r="44" spans="1:4" ht="15" x14ac:dyDescent="0.2">
      <c r="A44" s="123" t="s">
        <v>289</v>
      </c>
      <c r="B44" s="122">
        <f>'cargas mensal'!S27</f>
        <v>1527130.5079999999</v>
      </c>
      <c r="C44" s="260">
        <f t="shared" si="5"/>
        <v>127260.87566666666</v>
      </c>
    </row>
    <row r="45" spans="1:4" ht="15" x14ac:dyDescent="0.2">
      <c r="A45" s="123" t="s">
        <v>299</v>
      </c>
      <c r="B45" s="122">
        <f>'cargas mensal'!S16+'cargas mensal'!S17+'cargas mensal'!S18+'cargas mensal'!S19+'cargas mensal'!S20+'cargas mensal'!S21+'cargas mensal'!S22+'cargas mensal'!S23+'cargas mensal'!S24+'cargas mensal'!S25+'cargas mensal'!S26+'cargas mensal'!T15</f>
        <v>1512340.1309999998</v>
      </c>
      <c r="C45" s="260">
        <f t="shared" si="5"/>
        <v>126028.34424999998</v>
      </c>
      <c r="D45" s="441"/>
    </row>
    <row r="46" spans="1:4" ht="15" x14ac:dyDescent="0.2">
      <c r="A46" s="123" t="s">
        <v>321</v>
      </c>
      <c r="B46" s="122">
        <f>'cargas mensal'!S17+'cargas mensal'!S18+'cargas mensal'!S19+'cargas mensal'!S20+'cargas mensal'!S21+'cargas mensal'!S22+'cargas mensal'!S23+'cargas mensal'!S24+'cargas mensal'!S25+'cargas mensal'!S26+'cargas mensal'!T15+'cargas mensal'!T16</f>
        <v>1532646.1689999998</v>
      </c>
      <c r="C46" s="260">
        <f t="shared" ref="C46:C51" si="6">B46/12</f>
        <v>127720.51408333331</v>
      </c>
    </row>
    <row r="47" spans="1:4" ht="15" x14ac:dyDescent="0.2">
      <c r="A47" s="123" t="s">
        <v>338</v>
      </c>
      <c r="B47" s="122">
        <f>'cargas mensal'!S18+'cargas mensal'!S19+'cargas mensal'!S20+'cargas mensal'!S21+'cargas mensal'!S22+'cargas mensal'!S23+'cargas mensal'!S24+'cargas mensal'!S25+'cargas mensal'!S26+'cargas mensal'!T15+'cargas mensal'!T16+'cargas mensal'!T17</f>
        <v>1544045.4599999997</v>
      </c>
      <c r="C47" s="260">
        <f t="shared" si="6"/>
        <v>128670.45499999997</v>
      </c>
    </row>
    <row r="48" spans="1:4" ht="15" x14ac:dyDescent="0.2">
      <c r="A48" s="123" t="s">
        <v>355</v>
      </c>
      <c r="B48" s="122">
        <f>'cargas mensal'!S19+'cargas mensal'!S20+'cargas mensal'!S21+'cargas mensal'!S22+'cargas mensal'!S23+'cargas mensal'!S24+'cargas mensal'!S25+'cargas mensal'!S26+'cargas mensal'!T15+'cargas mensal'!T16+'cargas mensal'!T17+'cargas mensal'!T18</f>
        <v>1470392.7039999999</v>
      </c>
      <c r="C48" s="260">
        <f t="shared" si="6"/>
        <v>122532.72533333332</v>
      </c>
      <c r="D48" s="441"/>
    </row>
    <row r="49" spans="1:4" ht="15" x14ac:dyDescent="0.2">
      <c r="A49" s="123" t="s">
        <v>370</v>
      </c>
      <c r="B49" s="122">
        <f>'cargas mensal'!S20+'cargas mensal'!S21+'cargas mensal'!S22+'cargas mensal'!S23+'cargas mensal'!S24+'cargas mensal'!S25+'cargas mensal'!S26+'cargas mensal'!T15+'cargas mensal'!T16+'cargas mensal'!T17+'cargas mensal'!T18+'cargas mensal'!T19</f>
        <v>1503881.3629999999</v>
      </c>
      <c r="C49" s="260">
        <f t="shared" si="6"/>
        <v>125323.44691666665</v>
      </c>
      <c r="D49" s="441"/>
    </row>
    <row r="50" spans="1:4" ht="15" x14ac:dyDescent="0.2">
      <c r="A50" s="123" t="s">
        <v>388</v>
      </c>
      <c r="B50" s="122">
        <f>'cargas mensal'!S21+'cargas mensal'!S22+'cargas mensal'!S23+'cargas mensal'!S24+'cargas mensal'!S25+'cargas mensal'!S26+'cargas mensal'!T15+'cargas mensal'!T16+'cargas mensal'!T17+'cargas mensal'!T18+'cargas mensal'!T19+'cargas mensal'!T20</f>
        <v>1459486.0820000002</v>
      </c>
      <c r="C50" s="260">
        <f t="shared" si="6"/>
        <v>121623.84016666668</v>
      </c>
      <c r="D50" s="441"/>
    </row>
    <row r="51" spans="1:4" ht="15" x14ac:dyDescent="0.2">
      <c r="A51" s="123" t="s">
        <v>405</v>
      </c>
      <c r="B51" s="122">
        <f>'cargas mensal'!S22+'cargas mensal'!S23+'cargas mensal'!S24+'cargas mensal'!S25+'cargas mensal'!S26+'cargas mensal'!T15+'cargas mensal'!T16+'cargas mensal'!T17+'cargas mensal'!T18+'cargas mensal'!T19+'cargas mensal'!T20+'cargas mensal'!T21</f>
        <v>1513953.2880000002</v>
      </c>
      <c r="C51" s="260">
        <f t="shared" si="6"/>
        <v>126162.77400000002</v>
      </c>
      <c r="D51" s="441"/>
    </row>
    <row r="52" spans="1:4" ht="15" x14ac:dyDescent="0.2">
      <c r="A52" s="123" t="s">
        <v>425</v>
      </c>
      <c r="B52" s="122">
        <f>'cargas mensal'!S23+'cargas mensal'!S24+'cargas mensal'!S25+'cargas mensal'!S26+'cargas mensal'!T15+'cargas mensal'!T16+'cargas mensal'!T17+'cargas mensal'!T18+'cargas mensal'!T19+'cargas mensal'!T20+'cargas mensal'!T21+'cargas mensal'!T22</f>
        <v>1510294.47</v>
      </c>
      <c r="C52" s="260">
        <f>B52/12</f>
        <v>125857.8725</v>
      </c>
      <c r="D52" s="441"/>
    </row>
    <row r="53" spans="1:4" ht="15" x14ac:dyDescent="0.2">
      <c r="A53" s="123" t="s">
        <v>441</v>
      </c>
      <c r="B53" s="122">
        <f>'cargas mensal'!S24+'cargas mensal'!S25+'cargas mensal'!S26+'cargas mensal'!T15+'cargas mensal'!T16+'cargas mensal'!T17+'cargas mensal'!T18+'cargas mensal'!T19+'cargas mensal'!T20+'cargas mensal'!T21+'cargas mensal'!T22+'cargas mensal'!T23</f>
        <v>1509521.452</v>
      </c>
      <c r="C53" s="260">
        <f>B53/12</f>
        <v>125793.45433333334</v>
      </c>
      <c r="D53" s="441"/>
    </row>
    <row r="54" spans="1:4" ht="15" x14ac:dyDescent="0.2">
      <c r="A54" s="123" t="s">
        <v>452</v>
      </c>
      <c r="B54" s="122">
        <f>'cargas mensal'!S25+'cargas mensal'!S26+'cargas mensal'!T27</f>
        <v>1682858.6150000002</v>
      </c>
      <c r="C54" s="260">
        <f>B54/12</f>
        <v>140238.21791666668</v>
      </c>
      <c r="D54" s="473" t="s">
        <v>135</v>
      </c>
    </row>
    <row r="55" spans="1:4" ht="15" x14ac:dyDescent="0.2">
      <c r="A55" s="123" t="s">
        <v>470</v>
      </c>
      <c r="B55" s="122">
        <f>'cargas mensal'!S26+'cargas mensal'!T15+'cargas mensal'!T16+'cargas mensal'!T17+'cargas mensal'!T18+'cargas mensal'!T19+'cargas mensal'!T20+'cargas mensal'!T21+'cargas mensal'!T22+'cargas mensal'!T23+'cargas mensal'!T24+'cargas mensal'!T25</f>
        <v>1438868.699</v>
      </c>
      <c r="C55" s="260">
        <f>B55/12</f>
        <v>119905.72491666667</v>
      </c>
      <c r="D55" s="441"/>
    </row>
    <row r="56" spans="1:4" ht="15" x14ac:dyDescent="0.2">
      <c r="A56" s="123" t="s">
        <v>570</v>
      </c>
      <c r="B56" s="122">
        <f>'cargas mensal'!T27</f>
        <v>1442283.4770000002</v>
      </c>
      <c r="C56" s="260">
        <f>B56/12</f>
        <v>120190.28975000001</v>
      </c>
      <c r="D56" s="441"/>
    </row>
    <row r="57" spans="1:4" ht="15" x14ac:dyDescent="0.2">
      <c r="A57" s="94"/>
      <c r="B57" s="201"/>
      <c r="C57" s="512"/>
      <c r="D57" s="441"/>
    </row>
  </sheetData>
  <mergeCells count="1">
    <mergeCell ref="A6:L6"/>
  </mergeCells>
  <printOptions horizontalCentered="1" verticalCentered="1"/>
  <pageMargins left="0" right="0" top="0" bottom="0" header="0.31496062992125984" footer="0.31496062992125984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F901-C3D7-4FC5-9806-3D44624094DD}">
  <dimension ref="A2:N26"/>
  <sheetViews>
    <sheetView showGridLines="0" topLeftCell="A2" zoomScale="75" zoomScaleNormal="75" workbookViewId="0">
      <selection activeCell="I24" sqref="I24"/>
    </sheetView>
  </sheetViews>
  <sheetFormatPr defaultRowHeight="20.25" x14ac:dyDescent="0.3"/>
  <cols>
    <col min="1" max="1" width="25" style="78" customWidth="1"/>
    <col min="2" max="2" width="28" style="78" bestFit="1" customWidth="1"/>
    <col min="3" max="3" width="20.85546875" style="78" bestFit="1" customWidth="1"/>
    <col min="4" max="4" width="22.42578125" style="78" bestFit="1" customWidth="1"/>
    <col min="5" max="5" width="25.140625" style="78" bestFit="1" customWidth="1"/>
    <col min="6" max="6" width="20.85546875" style="78" bestFit="1" customWidth="1"/>
    <col min="7" max="7" width="18.85546875" style="78" customWidth="1"/>
    <col min="8" max="8" width="1.7109375" style="78" customWidth="1"/>
    <col min="9" max="9" width="14" style="78" customWidth="1"/>
    <col min="10" max="10" width="26.42578125" style="78" bestFit="1" customWidth="1"/>
    <col min="11" max="11" width="14" style="78" bestFit="1" customWidth="1"/>
    <col min="12" max="16384" width="9.140625" style="78"/>
  </cols>
  <sheetData>
    <row r="2" spans="1:14" ht="23.25" x14ac:dyDescent="0.35">
      <c r="A2" s="633" t="s">
        <v>74</v>
      </c>
      <c r="B2" s="633"/>
      <c r="C2" s="633"/>
      <c r="D2" s="633"/>
      <c r="E2" s="633"/>
      <c r="F2" s="633"/>
      <c r="G2" s="633"/>
      <c r="H2" s="633"/>
      <c r="I2" s="633"/>
    </row>
    <row r="4" spans="1:14" x14ac:dyDescent="0.3">
      <c r="A4" s="634" t="s">
        <v>73</v>
      </c>
      <c r="B4" s="634"/>
      <c r="C4" s="634"/>
      <c r="D4" s="634"/>
      <c r="E4" s="634"/>
      <c r="F4" s="634"/>
      <c r="G4" s="634"/>
      <c r="H4" s="634"/>
      <c r="I4" s="634"/>
    </row>
    <row r="5" spans="1:14" x14ac:dyDescent="0.3">
      <c r="A5" s="634" t="s">
        <v>72</v>
      </c>
      <c r="B5" s="634"/>
      <c r="C5" s="634"/>
      <c r="D5" s="634"/>
      <c r="E5" s="634"/>
      <c r="F5" s="634"/>
      <c r="G5" s="634"/>
      <c r="H5" s="634"/>
      <c r="I5" s="634"/>
    </row>
    <row r="6" spans="1:14" x14ac:dyDescent="0.3">
      <c r="A6" s="634" t="s">
        <v>71</v>
      </c>
      <c r="B6" s="634"/>
      <c r="C6" s="634"/>
      <c r="D6" s="634"/>
      <c r="E6" s="634"/>
      <c r="F6" s="634"/>
      <c r="G6" s="634"/>
      <c r="H6" s="634"/>
      <c r="I6" s="634"/>
    </row>
    <row r="7" spans="1:14" x14ac:dyDescent="0.3">
      <c r="A7" s="99"/>
      <c r="B7" s="99"/>
      <c r="C7" s="99"/>
      <c r="D7" s="99"/>
      <c r="E7" s="99"/>
      <c r="F7" s="634"/>
      <c r="G7" s="634"/>
      <c r="H7" s="634"/>
    </row>
    <row r="9" spans="1:14" ht="23.25" x14ac:dyDescent="0.35">
      <c r="A9" s="635" t="s">
        <v>69</v>
      </c>
      <c r="B9" s="630">
        <v>2024</v>
      </c>
      <c r="C9" s="631"/>
      <c r="D9" s="632"/>
      <c r="E9" s="630">
        <v>2025</v>
      </c>
      <c r="F9" s="631"/>
      <c r="G9" s="632"/>
      <c r="H9" s="98"/>
      <c r="I9" s="97" t="s">
        <v>70</v>
      </c>
      <c r="J9" s="90"/>
      <c r="K9" s="90"/>
      <c r="L9" s="90"/>
      <c r="M9" s="90"/>
      <c r="N9" s="90"/>
    </row>
    <row r="10" spans="1:14" x14ac:dyDescent="0.3">
      <c r="A10" s="636"/>
      <c r="B10" s="96" t="s">
        <v>68</v>
      </c>
      <c r="C10" s="96" t="s">
        <v>67</v>
      </c>
      <c r="D10" s="95" t="s">
        <v>66</v>
      </c>
      <c r="E10" s="96" t="s">
        <v>68</v>
      </c>
      <c r="F10" s="96" t="s">
        <v>67</v>
      </c>
      <c r="G10" s="95" t="s">
        <v>66</v>
      </c>
      <c r="H10" s="94"/>
      <c r="I10" s="93" t="s">
        <v>65</v>
      </c>
      <c r="J10" s="90"/>
      <c r="K10" s="90"/>
      <c r="L10" s="90"/>
      <c r="M10" s="90"/>
      <c r="N10" s="90"/>
    </row>
    <row r="11" spans="1:14" x14ac:dyDescent="0.3">
      <c r="A11" s="316" t="s">
        <v>64</v>
      </c>
      <c r="B11" s="86">
        <v>26435.896000000001</v>
      </c>
      <c r="C11" s="84">
        <v>73483.653000000006</v>
      </c>
      <c r="D11" s="321">
        <f>SUM(B11:C11)</f>
        <v>99919.548999999999</v>
      </c>
      <c r="E11" s="384">
        <f>'Mov. Cargas '!C23</f>
        <v>21609.54</v>
      </c>
      <c r="F11" s="84">
        <f>'Mov. Cargas '!C38</f>
        <v>63519.631999999998</v>
      </c>
      <c r="G11" s="309">
        <f>E11+F11</f>
        <v>85129.171999999991</v>
      </c>
      <c r="H11" s="83"/>
      <c r="I11" s="208">
        <f t="shared" ref="I11:I16" si="0">G11/D11-1</f>
        <v>-0.14802285586777431</v>
      </c>
      <c r="J11" s="91"/>
      <c r="K11" s="90"/>
      <c r="L11" s="90"/>
      <c r="M11" s="90"/>
      <c r="N11" s="90"/>
    </row>
    <row r="12" spans="1:14" x14ac:dyDescent="0.3">
      <c r="A12" s="316" t="s">
        <v>63</v>
      </c>
      <c r="B12" s="86">
        <v>36193.39</v>
      </c>
      <c r="C12" s="84">
        <v>80029.638000000006</v>
      </c>
      <c r="D12" s="321">
        <f t="shared" ref="D12:D22" si="1">SUM(B12:C12)</f>
        <v>116223.02800000001</v>
      </c>
      <c r="E12" s="86">
        <f>'Mov. Cargas '!E23</f>
        <v>97196.544999999984</v>
      </c>
      <c r="F12" s="84">
        <f>'Mov. Cargas '!E38</f>
        <v>39332.521000000001</v>
      </c>
      <c r="G12" s="310">
        <f>SUM(E12:F12)</f>
        <v>136529.06599999999</v>
      </c>
      <c r="H12" s="83"/>
      <c r="I12" s="208">
        <f t="shared" si="0"/>
        <v>0.17471613284761411</v>
      </c>
      <c r="J12" s="85" t="s">
        <v>12</v>
      </c>
      <c r="K12" s="85"/>
    </row>
    <row r="13" spans="1:14" x14ac:dyDescent="0.3">
      <c r="A13" s="316" t="s">
        <v>62</v>
      </c>
      <c r="B13" s="86">
        <v>24764.38</v>
      </c>
      <c r="C13" s="84">
        <v>79838.014999999999</v>
      </c>
      <c r="D13" s="321">
        <f t="shared" si="1"/>
        <v>104602.395</v>
      </c>
      <c r="E13" s="86">
        <f>'Mov. Cargas '!G23</f>
        <v>43140.870999999992</v>
      </c>
      <c r="F13" s="84">
        <f>'Mov. Cargas '!G38</f>
        <v>72860.815000000002</v>
      </c>
      <c r="G13" s="311">
        <f>SUM(E13,F13)</f>
        <v>116001.68599999999</v>
      </c>
      <c r="H13" s="83"/>
      <c r="I13" s="208">
        <f t="shared" si="0"/>
        <v>0.1089773422491902</v>
      </c>
      <c r="J13" s="89" t="s">
        <v>12</v>
      </c>
    </row>
    <row r="14" spans="1:14" x14ac:dyDescent="0.3">
      <c r="A14" s="316" t="s">
        <v>61</v>
      </c>
      <c r="B14" s="86">
        <v>87607.001000000004</v>
      </c>
      <c r="C14" s="84">
        <v>46016.046000000002</v>
      </c>
      <c r="D14" s="321">
        <f t="shared" si="1"/>
        <v>133623.04700000002</v>
      </c>
      <c r="E14" s="86">
        <f>'Mov. Cargas '!I23</f>
        <v>43212.216999999997</v>
      </c>
      <c r="F14" s="84">
        <f>'Mov. Cargas '!I38</f>
        <v>16758.074000000001</v>
      </c>
      <c r="G14" s="310">
        <f>E14+F14</f>
        <v>59970.290999999997</v>
      </c>
      <c r="H14" s="87"/>
      <c r="I14" s="208">
        <f t="shared" si="0"/>
        <v>-0.55119799805193792</v>
      </c>
    </row>
    <row r="15" spans="1:14" x14ac:dyDescent="0.3">
      <c r="A15" s="316" t="s">
        <v>60</v>
      </c>
      <c r="B15" s="86">
        <v>42704.180999999997</v>
      </c>
      <c r="C15" s="84">
        <v>96819.93</v>
      </c>
      <c r="D15" s="321">
        <f t="shared" si="1"/>
        <v>139524.11099999998</v>
      </c>
      <c r="E15" s="86">
        <f>'Mov. Cargas '!K23</f>
        <v>96419.331999999995</v>
      </c>
      <c r="F15" s="84">
        <f>'Mov. Cargas '!K38</f>
        <v>76593.437999999995</v>
      </c>
      <c r="G15" s="310">
        <f>SUM(E15,F15)</f>
        <v>173012.77</v>
      </c>
      <c r="H15" s="87"/>
      <c r="I15" s="208">
        <f t="shared" si="0"/>
        <v>0.2400205868360632</v>
      </c>
      <c r="J15" s="85"/>
    </row>
    <row r="16" spans="1:14" x14ac:dyDescent="0.3">
      <c r="A16" s="316" t="s">
        <v>59</v>
      </c>
      <c r="B16" s="86">
        <v>44196.65</v>
      </c>
      <c r="C16" s="84">
        <v>121885.54</v>
      </c>
      <c r="D16" s="321">
        <f t="shared" si="1"/>
        <v>166082.19</v>
      </c>
      <c r="E16" s="86">
        <f>'Mov. Cargas '!M23</f>
        <v>40119.498</v>
      </c>
      <c r="F16" s="84">
        <f>'Mov. Cargas '!M38</f>
        <v>81567.410999999993</v>
      </c>
      <c r="G16" s="310">
        <f t="shared" ref="G16:G22" si="2">SUM(E16:F16)</f>
        <v>121686.90899999999</v>
      </c>
      <c r="H16" s="87"/>
      <c r="I16" s="208">
        <f t="shared" si="0"/>
        <v>-0.26730910159602317</v>
      </c>
      <c r="J16" s="85"/>
    </row>
    <row r="17" spans="1:11" x14ac:dyDescent="0.3">
      <c r="A17" s="316" t="s">
        <v>58</v>
      </c>
      <c r="B17" s="86">
        <v>50725.322999999997</v>
      </c>
      <c r="C17" s="84">
        <v>60843.046999999999</v>
      </c>
      <c r="D17" s="321">
        <f t="shared" si="1"/>
        <v>111568.37</v>
      </c>
      <c r="E17" s="86">
        <f>'Mov. Cargas '!C79</f>
        <v>69171.837</v>
      </c>
      <c r="F17" s="84">
        <f>'Mov. Cargas '!C96</f>
        <v>96863.739000000001</v>
      </c>
      <c r="G17" s="310">
        <f t="shared" si="2"/>
        <v>166035.576</v>
      </c>
      <c r="H17" s="83"/>
      <c r="I17" s="227">
        <f>G17/D17-1</f>
        <v>0.48819576731290426</v>
      </c>
      <c r="J17" s="88"/>
    </row>
    <row r="18" spans="1:11" x14ac:dyDescent="0.3">
      <c r="A18" s="316" t="s">
        <v>57</v>
      </c>
      <c r="B18" s="86">
        <v>26942.734</v>
      </c>
      <c r="C18" s="84">
        <v>120123.614</v>
      </c>
      <c r="D18" s="321">
        <f t="shared" si="1"/>
        <v>147066.348</v>
      </c>
      <c r="E18" s="86">
        <f>'Mov. Cargas '!E79</f>
        <v>43311.79</v>
      </c>
      <c r="F18" s="84">
        <f>'Mov. Cargas '!E96</f>
        <v>100095.73999999999</v>
      </c>
      <c r="G18" s="310">
        <f t="shared" si="2"/>
        <v>143407.53</v>
      </c>
      <c r="H18" s="83"/>
      <c r="I18" s="227">
        <f>G18/D18-1</f>
        <v>-2.4878689447024316E-2</v>
      </c>
      <c r="J18" s="85"/>
    </row>
    <row r="19" spans="1:11" x14ac:dyDescent="0.3">
      <c r="A19" s="316" t="s">
        <v>56</v>
      </c>
      <c r="B19" s="86">
        <v>54702.072</v>
      </c>
      <c r="C19" s="84">
        <v>71911.381999999998</v>
      </c>
      <c r="D19" s="321">
        <f t="shared" si="1"/>
        <v>126613.454</v>
      </c>
      <c r="E19" s="86">
        <f>'Mov. Cargas '!G79</f>
        <v>91171.217000000004</v>
      </c>
      <c r="F19" s="84">
        <f>'Mov. Cargas '!G96</f>
        <v>34669.218999999997</v>
      </c>
      <c r="G19" s="310">
        <f t="shared" si="2"/>
        <v>125840.436</v>
      </c>
      <c r="H19" s="83"/>
      <c r="I19" s="228">
        <f>G19/D19-1</f>
        <v>-6.1053385369298496E-3</v>
      </c>
    </row>
    <row r="20" spans="1:11" x14ac:dyDescent="0.3">
      <c r="A20" s="316" t="s">
        <v>55</v>
      </c>
      <c r="B20" s="86">
        <v>71340.547999999995</v>
      </c>
      <c r="C20" s="84">
        <v>69992.33</v>
      </c>
      <c r="D20" s="321">
        <f t="shared" si="1"/>
        <v>141332.878</v>
      </c>
      <c r="E20" s="86">
        <f>'Mov. Cargas '!I79</f>
        <v>31628.979000000003</v>
      </c>
      <c r="F20" s="84">
        <f>'Mov. Cargas '!I96</f>
        <v>56261.777000000002</v>
      </c>
      <c r="G20" s="311">
        <f t="shared" si="2"/>
        <v>87890.756000000008</v>
      </c>
      <c r="H20" s="87"/>
      <c r="I20" s="228">
        <f>G20/D20-1</f>
        <v>-0.37812943991701631</v>
      </c>
    </row>
    <row r="21" spans="1:11" x14ac:dyDescent="0.3">
      <c r="A21" s="316" t="s">
        <v>54</v>
      </c>
      <c r="B21" s="86">
        <v>55153.512999999999</v>
      </c>
      <c r="C21" s="84">
        <v>60101.724999999999</v>
      </c>
      <c r="D21" s="321">
        <f t="shared" si="1"/>
        <v>115255.238</v>
      </c>
      <c r="E21" s="86">
        <f>'Mov. Cargas '!K79</f>
        <v>40555.735999999997</v>
      </c>
      <c r="F21" s="84">
        <f>'Mov. Cargas '!K96</f>
        <v>57488.870999999999</v>
      </c>
      <c r="G21" s="310">
        <f t="shared" si="2"/>
        <v>98044.606999999989</v>
      </c>
      <c r="H21" s="83"/>
      <c r="I21" s="228">
        <f>G21/D21-1</f>
        <v>-0.14932623712945703</v>
      </c>
      <c r="J21" s="85"/>
      <c r="K21" s="78" t="s">
        <v>12</v>
      </c>
    </row>
    <row r="22" spans="1:11" x14ac:dyDescent="0.3">
      <c r="A22" s="316" t="s">
        <v>53</v>
      </c>
      <c r="B22" s="233">
        <v>58909.91</v>
      </c>
      <c r="C22" s="84">
        <v>66409.990000000005</v>
      </c>
      <c r="D22" s="321">
        <f t="shared" si="1"/>
        <v>125319.90000000001</v>
      </c>
      <c r="E22" s="233">
        <f>'Mov. Cargas '!M79</f>
        <v>58711.029000000002</v>
      </c>
      <c r="F22" s="84">
        <f>'Mov. Cargas '!M96</f>
        <v>70023.649000000005</v>
      </c>
      <c r="G22" s="312">
        <f t="shared" si="2"/>
        <v>128734.67800000001</v>
      </c>
      <c r="H22" s="83"/>
      <c r="I22" s="208">
        <f>G22/D22-1</f>
        <v>2.7248489665248732E-2</v>
      </c>
    </row>
    <row r="23" spans="1:11" x14ac:dyDescent="0.3">
      <c r="A23" s="82" t="s">
        <v>182</v>
      </c>
      <c r="B23" s="81">
        <f t="shared" ref="B23:G23" si="3">SUM(B11:B22)</f>
        <v>579675.598</v>
      </c>
      <c r="C23" s="81">
        <f t="shared" si="3"/>
        <v>947454.90999999992</v>
      </c>
      <c r="D23" s="81">
        <f t="shared" si="3"/>
        <v>1527130.5079999999</v>
      </c>
      <c r="E23" s="81">
        <f t="shared" si="3"/>
        <v>676248.59100000013</v>
      </c>
      <c r="F23" s="81">
        <f t="shared" si="3"/>
        <v>766034.88599999994</v>
      </c>
      <c r="G23" s="81">
        <f t="shared" si="3"/>
        <v>1442283.4770000002</v>
      </c>
      <c r="H23" s="80"/>
      <c r="I23" s="283">
        <f>G23/D23-1</f>
        <v>-5.5559777344189931E-2</v>
      </c>
      <c r="K23" s="79"/>
    </row>
    <row r="24" spans="1:11" x14ac:dyDescent="0.3">
      <c r="A24" s="295"/>
      <c r="B24" s="296"/>
      <c r="C24" s="296"/>
      <c r="D24" s="296"/>
      <c r="E24" s="296"/>
      <c r="F24" s="296"/>
      <c r="G24" s="296"/>
      <c r="H24" s="296"/>
      <c r="I24" s="297"/>
      <c r="K24" s="79"/>
    </row>
    <row r="25" spans="1:11" x14ac:dyDescent="0.3">
      <c r="A25" s="295"/>
      <c r="B25" s="296"/>
      <c r="C25" s="417"/>
      <c r="D25" s="296"/>
      <c r="E25" s="296"/>
      <c r="F25" s="417"/>
      <c r="G25" s="296"/>
      <c r="H25" s="418"/>
      <c r="I25" s="98"/>
      <c r="K25" s="79"/>
    </row>
    <row r="26" spans="1:11" x14ac:dyDescent="0.3">
      <c r="B26" s="419"/>
      <c r="C26" s="419"/>
      <c r="D26" s="419"/>
      <c r="E26" s="419"/>
      <c r="F26" s="419"/>
      <c r="G26" s="419"/>
      <c r="H26" s="420"/>
    </row>
  </sheetData>
  <mergeCells count="8">
    <mergeCell ref="B9:D9"/>
    <mergeCell ref="A2:I2"/>
    <mergeCell ref="A4:I4"/>
    <mergeCell ref="A5:I5"/>
    <mergeCell ref="A6:I6"/>
    <mergeCell ref="F7:H7"/>
    <mergeCell ref="E9:G9"/>
    <mergeCell ref="A9:A10"/>
  </mergeCells>
  <printOptions horizontalCentered="1" verticalCentered="1"/>
  <pageMargins left="0.11811023622047245" right="0.11811023622047245" top="0.78740157480314965" bottom="0.78740157480314965" header="0.31496062992125984" footer="0.31496062992125984"/>
  <pageSetup paperSize="9" scale="80" orientation="landscape" r:id="rId1"/>
  <ignoredErrors>
    <ignoredError sqref="G14" formula="1"/>
    <ignoredError sqref="G1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7D75-B8BE-4355-A792-654D5AAB7177}">
  <dimension ref="A5:J49"/>
  <sheetViews>
    <sheetView showGridLines="0" topLeftCell="A22" zoomScaleNormal="100" workbookViewId="0">
      <selection activeCell="A48" sqref="A48"/>
    </sheetView>
  </sheetViews>
  <sheetFormatPr defaultRowHeight="12.75" x14ac:dyDescent="0.2"/>
  <cols>
    <col min="1" max="1" width="33.140625" bestFit="1" customWidth="1"/>
    <col min="2" max="2" width="31.7109375" customWidth="1"/>
    <col min="3" max="3" width="7.5703125" customWidth="1"/>
    <col min="4" max="4" width="33.140625" bestFit="1" customWidth="1"/>
    <col min="5" max="5" width="36.7109375" customWidth="1"/>
    <col min="6" max="6" width="16.28515625" bestFit="1" customWidth="1"/>
    <col min="7" max="7" width="14.140625" bestFit="1" customWidth="1"/>
    <col min="8" max="8" width="11.28515625" bestFit="1" customWidth="1"/>
  </cols>
  <sheetData>
    <row r="5" spans="1:6" ht="13.5" thickBot="1" x14ac:dyDescent="0.25"/>
    <row r="6" spans="1:6" ht="19.5" thickBot="1" x14ac:dyDescent="0.35">
      <c r="A6" s="642" t="s">
        <v>263</v>
      </c>
      <c r="B6" s="643"/>
      <c r="C6" s="643"/>
      <c r="D6" s="643"/>
      <c r="E6" s="644"/>
    </row>
    <row r="7" spans="1:6" ht="19.5" thickBot="1" x14ac:dyDescent="0.35">
      <c r="A7" s="642" t="s">
        <v>106</v>
      </c>
      <c r="B7" s="643"/>
      <c r="C7" s="643"/>
      <c r="D7" s="643"/>
      <c r="E7" s="644"/>
    </row>
    <row r="8" spans="1:6" ht="13.5" thickBot="1" x14ac:dyDescent="0.25"/>
    <row r="9" spans="1:6" ht="21.75" thickBot="1" x14ac:dyDescent="0.4">
      <c r="A9" s="646" t="s">
        <v>290</v>
      </c>
      <c r="B9" s="647"/>
      <c r="C9" s="140"/>
      <c r="D9" s="646" t="s">
        <v>471</v>
      </c>
      <c r="E9" s="647"/>
    </row>
    <row r="10" spans="1:6" ht="18.75" x14ac:dyDescent="0.3">
      <c r="A10" s="645" t="s">
        <v>105</v>
      </c>
      <c r="B10" s="645"/>
      <c r="C10" s="140"/>
      <c r="D10" s="645" t="s">
        <v>105</v>
      </c>
      <c r="E10" s="645"/>
    </row>
    <row r="11" spans="1:6" ht="18.75" x14ac:dyDescent="0.3">
      <c r="A11" s="149" t="s">
        <v>104</v>
      </c>
      <c r="B11" s="211">
        <v>411442.53</v>
      </c>
      <c r="D11" s="149" t="s">
        <v>104</v>
      </c>
      <c r="E11" s="211">
        <f>'Mov. Cargas '!O68</f>
        <v>380930.75</v>
      </c>
      <c r="F11" s="381"/>
    </row>
    <row r="12" spans="1:6" ht="18.75" x14ac:dyDescent="0.3">
      <c r="A12" s="149" t="s">
        <v>103</v>
      </c>
      <c r="B12" s="211">
        <v>0</v>
      </c>
      <c r="D12" s="149" t="s">
        <v>103</v>
      </c>
      <c r="E12" s="211">
        <f>'Mov. Cargas '!O69</f>
        <v>21142.510000000002</v>
      </c>
      <c r="F12" s="380"/>
    </row>
    <row r="13" spans="1:6" ht="18.75" x14ac:dyDescent="0.3">
      <c r="A13" s="149" t="s">
        <v>102</v>
      </c>
      <c r="B13" s="211">
        <v>167324.43</v>
      </c>
      <c r="D13" s="149" t="s">
        <v>102</v>
      </c>
      <c r="E13" s="211">
        <f>'Mov. Cargas '!O70+'Mov. Cargas '!O71</f>
        <v>209959.88</v>
      </c>
      <c r="F13" s="380"/>
    </row>
    <row r="14" spans="1:6" ht="18.75" x14ac:dyDescent="0.3">
      <c r="A14" s="149" t="s">
        <v>389</v>
      </c>
      <c r="B14" s="211">
        <v>0</v>
      </c>
      <c r="D14" s="149" t="s">
        <v>389</v>
      </c>
      <c r="E14" s="211">
        <f>'Mov. Cargas '!O74</f>
        <v>26859.42</v>
      </c>
    </row>
    <row r="15" spans="1:6" ht="18.75" x14ac:dyDescent="0.3">
      <c r="A15" s="149" t="s">
        <v>356</v>
      </c>
      <c r="B15" s="211">
        <v>0</v>
      </c>
      <c r="D15" s="149" t="s">
        <v>356</v>
      </c>
      <c r="E15" s="211">
        <f>'Mov. Cargas '!O76</f>
        <v>31499.41</v>
      </c>
    </row>
    <row r="16" spans="1:6" ht="18.75" x14ac:dyDescent="0.3">
      <c r="A16" s="149" t="s">
        <v>203</v>
      </c>
      <c r="B16" s="211">
        <v>0</v>
      </c>
      <c r="D16" s="149" t="s">
        <v>203</v>
      </c>
      <c r="E16" s="211">
        <f>'Mov. Cargas '!O19</f>
        <v>4841.2299999999996</v>
      </c>
    </row>
    <row r="17" spans="1:8" ht="18.75" x14ac:dyDescent="0.3">
      <c r="A17" s="149" t="s">
        <v>127</v>
      </c>
      <c r="B17" s="211">
        <v>908.63800000000003</v>
      </c>
      <c r="D17" s="149" t="s">
        <v>127</v>
      </c>
      <c r="E17" s="211">
        <f>'Mov. Cargas '!O72</f>
        <v>770.90100000000007</v>
      </c>
    </row>
    <row r="18" spans="1:8" ht="18.75" x14ac:dyDescent="0.3">
      <c r="A18" s="148" t="s">
        <v>185</v>
      </c>
      <c r="B18" s="211">
        <v>0</v>
      </c>
      <c r="D18" s="148" t="s">
        <v>185</v>
      </c>
      <c r="E18" s="211">
        <f>'Mov. Cargas '!O73</f>
        <v>0</v>
      </c>
    </row>
    <row r="19" spans="1:8" ht="18.75" x14ac:dyDescent="0.3">
      <c r="A19" s="148" t="s">
        <v>357</v>
      </c>
      <c r="B19" s="436">
        <v>0</v>
      </c>
      <c r="D19" s="148" t="s">
        <v>357</v>
      </c>
      <c r="E19" s="436">
        <f>'Mov. Cargas '!I21+'Mov. Cargas '!M77</f>
        <v>244.48999999999998</v>
      </c>
    </row>
    <row r="20" spans="1:8" ht="18.75" x14ac:dyDescent="0.3">
      <c r="A20" s="147" t="s">
        <v>99</v>
      </c>
      <c r="B20" s="150">
        <f>SUM(B11:B19)</f>
        <v>579675.598</v>
      </c>
      <c r="D20" s="147" t="s">
        <v>99</v>
      </c>
      <c r="E20" s="150">
        <f>SUM(E11:E19)</f>
        <v>676248.59100000001</v>
      </c>
      <c r="F20" s="380"/>
    </row>
    <row r="21" spans="1:8" ht="18.75" x14ac:dyDescent="0.3">
      <c r="A21" s="641" t="s">
        <v>101</v>
      </c>
      <c r="B21" s="641"/>
      <c r="D21" s="641" t="s">
        <v>101</v>
      </c>
      <c r="E21" s="641"/>
    </row>
    <row r="22" spans="1:8" ht="18.75" x14ac:dyDescent="0.3">
      <c r="A22" s="149" t="s">
        <v>100</v>
      </c>
      <c r="B22" s="211">
        <v>60990.974999999999</v>
      </c>
      <c r="D22" s="149" t="s">
        <v>100</v>
      </c>
      <c r="E22" s="211">
        <f>'Mov. Cargas '!O85+'Mov. Cargas '!O86</f>
        <v>91064.59</v>
      </c>
    </row>
    <row r="23" spans="1:8" ht="18.75" x14ac:dyDescent="0.3">
      <c r="A23" s="149" t="s">
        <v>269</v>
      </c>
      <c r="B23" s="211">
        <v>1052</v>
      </c>
      <c r="D23" s="149" t="s">
        <v>269</v>
      </c>
      <c r="E23" s="211">
        <f>'Mov. Cargas '!G27</f>
        <v>0</v>
      </c>
    </row>
    <row r="24" spans="1:8" ht="18.75" x14ac:dyDescent="0.3">
      <c r="A24" s="149" t="s">
        <v>149</v>
      </c>
      <c r="B24" s="211">
        <v>52158.46</v>
      </c>
      <c r="D24" s="149" t="s">
        <v>149</v>
      </c>
      <c r="E24" s="211">
        <f>'Mov. Cargas '!O89</f>
        <v>36732.25</v>
      </c>
    </row>
    <row r="25" spans="1:8" ht="18.75" x14ac:dyDescent="0.3">
      <c r="A25" s="149" t="s">
        <v>127</v>
      </c>
      <c r="B25" s="211">
        <v>2615.2739999999999</v>
      </c>
      <c r="D25" s="149" t="s">
        <v>127</v>
      </c>
      <c r="E25" s="211">
        <f>'Mov. Cargas '!O84</f>
        <v>6319.2160000000003</v>
      </c>
    </row>
    <row r="26" spans="1:8" ht="18.75" x14ac:dyDescent="0.3">
      <c r="A26" s="149" t="s">
        <v>264</v>
      </c>
      <c r="B26" s="211">
        <v>234315.65</v>
      </c>
      <c r="D26" s="149" t="s">
        <v>291</v>
      </c>
      <c r="E26" s="211">
        <f>'Mov. Cargas '!O91+'Mov. Cargas '!O92</f>
        <v>105821.7</v>
      </c>
    </row>
    <row r="27" spans="1:8" ht="18.75" x14ac:dyDescent="0.3">
      <c r="A27" s="149" t="s">
        <v>154</v>
      </c>
      <c r="B27" s="211">
        <v>80883.486000000004</v>
      </c>
      <c r="D27" s="149" t="s">
        <v>154</v>
      </c>
      <c r="E27" s="211">
        <f>'Mov. Cargas '!O95</f>
        <v>24000</v>
      </c>
    </row>
    <row r="28" spans="1:8" ht="18.75" x14ac:dyDescent="0.3">
      <c r="A28" s="149" t="s">
        <v>214</v>
      </c>
      <c r="B28" s="211">
        <v>8046.69</v>
      </c>
      <c r="D28" s="149" t="s">
        <v>214</v>
      </c>
      <c r="E28" s="211">
        <f>'Mov. Cargas '!O31</f>
        <v>0</v>
      </c>
      <c r="H28" s="229"/>
    </row>
    <row r="29" spans="1:8" ht="18.75" x14ac:dyDescent="0.3">
      <c r="A29" s="149" t="s">
        <v>571</v>
      </c>
      <c r="B29" s="211">
        <v>0</v>
      </c>
      <c r="D29" s="149" t="s">
        <v>571</v>
      </c>
      <c r="E29" s="211">
        <f>'Mov. Cargas '!O90</f>
        <v>27002.231</v>
      </c>
      <c r="H29" s="229"/>
    </row>
    <row r="30" spans="1:8" ht="18.75" x14ac:dyDescent="0.3">
      <c r="A30" s="149" t="s">
        <v>265</v>
      </c>
      <c r="B30" s="211">
        <v>498578.00199999998</v>
      </c>
      <c r="D30" s="149" t="s">
        <v>265</v>
      </c>
      <c r="E30" s="211">
        <f>'Mov. Cargas '!O94</f>
        <v>473978.7</v>
      </c>
      <c r="H30" s="229"/>
    </row>
    <row r="31" spans="1:8" ht="18.75" x14ac:dyDescent="0.3">
      <c r="A31" s="149" t="s">
        <v>282</v>
      </c>
      <c r="B31" s="211">
        <v>8651.2309999999998</v>
      </c>
      <c r="D31" s="149" t="s">
        <v>282</v>
      </c>
      <c r="E31" s="211">
        <f>'Mov. Cargas '!O93</f>
        <v>1116.1990000000001</v>
      </c>
      <c r="H31" s="229"/>
    </row>
    <row r="32" spans="1:8" ht="18.75" x14ac:dyDescent="0.3">
      <c r="A32" s="149" t="s">
        <v>199</v>
      </c>
      <c r="B32" s="211">
        <v>163.142</v>
      </c>
      <c r="D32" s="149" t="s">
        <v>199</v>
      </c>
      <c r="E32" s="211">
        <f>'Mov. Cargas '!O88</f>
        <v>0</v>
      </c>
    </row>
    <row r="34" spans="1:10" ht="18.75" x14ac:dyDescent="0.3">
      <c r="A34" s="347" t="s">
        <v>99</v>
      </c>
      <c r="B34" s="212">
        <f>SUM(B22:B32)</f>
        <v>947454.91</v>
      </c>
      <c r="D34" s="347" t="s">
        <v>99</v>
      </c>
      <c r="E34" s="212">
        <f>SUM(E22:E32)</f>
        <v>766034.88599999994</v>
      </c>
      <c r="F34" s="146"/>
    </row>
    <row r="35" spans="1:10" ht="21" x14ac:dyDescent="0.35">
      <c r="A35" s="145" t="s">
        <v>98</v>
      </c>
      <c r="B35" s="144">
        <f>B34+B20</f>
        <v>1527130.5079999999</v>
      </c>
      <c r="D35" s="145" t="s">
        <v>98</v>
      </c>
      <c r="E35" s="144">
        <f>E34+E20</f>
        <v>1442283.477</v>
      </c>
      <c r="F35" s="648" t="s">
        <v>300</v>
      </c>
      <c r="G35" s="649"/>
      <c r="H35" s="380"/>
      <c r="I35" s="230" t="s">
        <v>12</v>
      </c>
    </row>
    <row r="36" spans="1:10" ht="21" x14ac:dyDescent="0.35">
      <c r="A36" s="143" t="s">
        <v>97</v>
      </c>
      <c r="B36" s="142">
        <f>B35/12</f>
        <v>127260.87566666666</v>
      </c>
      <c r="D36" s="143" t="s">
        <v>97</v>
      </c>
      <c r="E36" s="142">
        <f>E35/12</f>
        <v>120190.28975</v>
      </c>
      <c r="F36" s="651">
        <f>E36/B36-1</f>
        <v>-5.5559777344190153E-2</v>
      </c>
      <c r="G36" s="652"/>
    </row>
    <row r="37" spans="1:10" x14ac:dyDescent="0.2">
      <c r="E37" s="137"/>
    </row>
    <row r="38" spans="1:10" ht="15" x14ac:dyDescent="0.25">
      <c r="A38" s="653" t="s">
        <v>96</v>
      </c>
      <c r="B38" s="653"/>
      <c r="C38" s="653"/>
      <c r="D38" s="653"/>
      <c r="E38" s="653"/>
      <c r="F38" s="653"/>
      <c r="G38" s="141"/>
    </row>
    <row r="39" spans="1:10" ht="13.5" thickBot="1" x14ac:dyDescent="0.25"/>
    <row r="40" spans="1:10" ht="16.5" thickBot="1" x14ac:dyDescent="0.3">
      <c r="A40" s="639" t="s">
        <v>472</v>
      </c>
      <c r="B40" s="640"/>
      <c r="C40" s="140"/>
      <c r="D40" s="639" t="s">
        <v>572</v>
      </c>
      <c r="E40" s="640"/>
      <c r="F40" s="139" t="s">
        <v>95</v>
      </c>
      <c r="G40" s="153"/>
    </row>
    <row r="41" spans="1:10" ht="18.75" x14ac:dyDescent="0.3">
      <c r="A41" s="637">
        <f>'Mov. Cargas '!K98</f>
        <v>98044.606999999989</v>
      </c>
      <c r="B41" s="638"/>
      <c r="C41" s="138"/>
      <c r="D41" s="637">
        <f>'Mov. Cargas '!M98</f>
        <v>128734.67800000001</v>
      </c>
      <c r="E41" s="638"/>
      <c r="F41" s="184">
        <f>D41/A41-1</f>
        <v>0.31302151070889628</v>
      </c>
      <c r="G41" s="246"/>
      <c r="H41" s="232"/>
      <c r="I41" s="230" t="s">
        <v>12</v>
      </c>
      <c r="J41" s="1" t="s">
        <v>12</v>
      </c>
    </row>
    <row r="42" spans="1:10" ht="18.75" thickBot="1" x14ac:dyDescent="0.3">
      <c r="B42" s="156"/>
      <c r="G42" s="90"/>
      <c r="I42" s="230" t="s">
        <v>12</v>
      </c>
    </row>
    <row r="43" spans="1:10" ht="16.5" thickBot="1" x14ac:dyDescent="0.3">
      <c r="A43" s="639" t="s">
        <v>573</v>
      </c>
      <c r="B43" s="640"/>
      <c r="C43" s="140"/>
      <c r="D43" s="639" t="s">
        <v>572</v>
      </c>
      <c r="E43" s="640"/>
      <c r="F43" s="139" t="s">
        <v>95</v>
      </c>
      <c r="H43" t="s">
        <v>12</v>
      </c>
    </row>
    <row r="44" spans="1:10" ht="18.75" x14ac:dyDescent="0.3">
      <c r="A44" s="637">
        <f>'cargas mensal'!S26</f>
        <v>125319.9</v>
      </c>
      <c r="B44" s="638"/>
      <c r="C44" s="138"/>
      <c r="D44" s="637">
        <f>D41</f>
        <v>128734.67800000001</v>
      </c>
      <c r="E44" s="638"/>
      <c r="F44" s="184">
        <f>D44/A44-1</f>
        <v>2.7248489665248954E-2</v>
      </c>
      <c r="G44" s="90"/>
      <c r="H44" s="230"/>
    </row>
    <row r="45" spans="1:10" x14ac:dyDescent="0.2">
      <c r="F45" s="137"/>
      <c r="G45" s="247"/>
    </row>
    <row r="46" spans="1:10" ht="15.75" x14ac:dyDescent="0.25">
      <c r="A46" s="650" t="s">
        <v>574</v>
      </c>
      <c r="B46" s="650"/>
      <c r="E46" s="201"/>
    </row>
    <row r="47" spans="1:10" ht="18.75" x14ac:dyDescent="0.3">
      <c r="A47" s="637">
        <f>E35</f>
        <v>1442283.477</v>
      </c>
      <c r="B47" s="638"/>
      <c r="E47" s="229"/>
    </row>
    <row r="49" spans="1:2" ht="15" x14ac:dyDescent="0.25">
      <c r="A49" s="136"/>
      <c r="B49" s="135"/>
    </row>
  </sheetData>
  <mergeCells count="21">
    <mergeCell ref="F35:G35"/>
    <mergeCell ref="A46:B46"/>
    <mergeCell ref="F36:G36"/>
    <mergeCell ref="D41:E41"/>
    <mergeCell ref="D44:E44"/>
    <mergeCell ref="A38:F38"/>
    <mergeCell ref="A6:E6"/>
    <mergeCell ref="A40:B40"/>
    <mergeCell ref="D40:E40"/>
    <mergeCell ref="A7:E7"/>
    <mergeCell ref="A10:B10"/>
    <mergeCell ref="A9:B9"/>
    <mergeCell ref="A21:B21"/>
    <mergeCell ref="D10:E10"/>
    <mergeCell ref="D9:E9"/>
    <mergeCell ref="A47:B47"/>
    <mergeCell ref="A43:B43"/>
    <mergeCell ref="A44:B44"/>
    <mergeCell ref="D21:E21"/>
    <mergeCell ref="D43:E43"/>
    <mergeCell ref="A41:B41"/>
  </mergeCells>
  <printOptions horizontalCentered="1" verticalCentered="1"/>
  <pageMargins left="0" right="0" top="0" bottom="0" header="0.31496062992125984" footer="0.31496062992125984"/>
  <pageSetup paperSize="9" scale="58" orientation="portrait" r:id="rId1"/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75A1-C51E-4A84-BD1F-BEC7A5BE1084}">
  <dimension ref="A2:P48"/>
  <sheetViews>
    <sheetView showGridLines="0" topLeftCell="B14" zoomScaleNormal="100" workbookViewId="0">
      <selection activeCell="M43" sqref="M43"/>
    </sheetView>
  </sheetViews>
  <sheetFormatPr defaultRowHeight="12.75" x14ac:dyDescent="0.2"/>
  <cols>
    <col min="1" max="1" width="36.140625" style="1" customWidth="1"/>
    <col min="2" max="2" width="19.7109375" style="1" customWidth="1"/>
    <col min="3" max="3" width="19.7109375" style="230" customWidth="1"/>
    <col min="4" max="13" width="19.7109375" style="1" customWidth="1"/>
    <col min="14" max="14" width="21.28515625" style="1" customWidth="1"/>
    <col min="15" max="15" width="9.140625" style="1"/>
    <col min="16" max="16" width="12.85546875" style="1" customWidth="1"/>
    <col min="17" max="16384" width="9.140625" style="1"/>
  </cols>
  <sheetData>
    <row r="2" spans="1:16" x14ac:dyDescent="0.2">
      <c r="A2"/>
      <c r="B2"/>
      <c r="D2"/>
      <c r="E2"/>
      <c r="F2"/>
      <c r="G2"/>
      <c r="H2"/>
      <c r="I2"/>
      <c r="J2"/>
      <c r="K2"/>
      <c r="L2"/>
      <c r="M2"/>
    </row>
    <row r="3" spans="1:16" x14ac:dyDescent="0.2">
      <c r="A3"/>
      <c r="B3"/>
      <c r="D3"/>
      <c r="E3" s="152"/>
      <c r="F3"/>
      <c r="G3"/>
      <c r="H3"/>
      <c r="I3"/>
      <c r="J3"/>
      <c r="K3"/>
      <c r="L3"/>
      <c r="M3"/>
    </row>
    <row r="4" spans="1:16" x14ac:dyDescent="0.2">
      <c r="A4"/>
      <c r="B4"/>
      <c r="D4"/>
      <c r="E4"/>
      <c r="F4"/>
      <c r="G4"/>
      <c r="H4"/>
      <c r="I4"/>
      <c r="J4"/>
      <c r="K4"/>
      <c r="L4"/>
      <c r="M4"/>
    </row>
    <row r="5" spans="1:16" x14ac:dyDescent="0.2">
      <c r="A5"/>
      <c r="B5"/>
      <c r="D5"/>
      <c r="E5"/>
      <c r="F5"/>
      <c r="G5"/>
      <c r="H5"/>
      <c r="I5"/>
      <c r="J5"/>
      <c r="K5"/>
      <c r="L5"/>
      <c r="M5"/>
    </row>
    <row r="6" spans="1:16" x14ac:dyDescent="0.2">
      <c r="A6" s="76"/>
      <c r="B6" s="76"/>
      <c r="C6" s="412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</row>
    <row r="7" spans="1:16" x14ac:dyDescent="0.2">
      <c r="A7" s="76"/>
      <c r="B7" s="76"/>
      <c r="C7" s="412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9" spans="1:16" ht="18" x14ac:dyDescent="0.25">
      <c r="A9" s="654" t="s">
        <v>301</v>
      </c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654"/>
      <c r="N9" s="654"/>
    </row>
    <row r="10" spans="1:16" s="76" customFormat="1" x14ac:dyDescent="0.2">
      <c r="A10" s="77" t="s">
        <v>52</v>
      </c>
      <c r="B10" s="77" t="s">
        <v>16</v>
      </c>
      <c r="C10" s="77" t="s">
        <v>17</v>
      </c>
      <c r="D10" s="77" t="s">
        <v>18</v>
      </c>
      <c r="E10" s="77" t="s">
        <v>51</v>
      </c>
      <c r="F10" s="77" t="s">
        <v>50</v>
      </c>
      <c r="G10" s="77" t="s">
        <v>49</v>
      </c>
      <c r="H10" s="77" t="s">
        <v>32</v>
      </c>
      <c r="I10" s="77" t="s">
        <v>33</v>
      </c>
      <c r="J10" s="77" t="s">
        <v>34</v>
      </c>
      <c r="K10" s="77" t="s">
        <v>35</v>
      </c>
      <c r="L10" s="77" t="s">
        <v>36</v>
      </c>
      <c r="M10" s="77" t="s">
        <v>37</v>
      </c>
      <c r="N10" s="77" t="s">
        <v>48</v>
      </c>
    </row>
    <row r="11" spans="1:16" ht="18" x14ac:dyDescent="0.25">
      <c r="A11" s="75" t="s">
        <v>47</v>
      </c>
      <c r="B11" s="361">
        <f t="shared" ref="B11:M11" si="0">B12+B13+B14</f>
        <v>1355581</v>
      </c>
      <c r="C11" s="361">
        <f t="shared" si="0"/>
        <v>1861815.3399999999</v>
      </c>
      <c r="D11" s="361">
        <f t="shared" si="0"/>
        <v>1603325.78</v>
      </c>
      <c r="E11" s="361">
        <f t="shared" si="0"/>
        <v>1599981.14</v>
      </c>
      <c r="F11" s="361">
        <f t="shared" si="0"/>
        <v>1412212.9100000001</v>
      </c>
      <c r="G11" s="361">
        <f t="shared" si="0"/>
        <v>1604615.5499999998</v>
      </c>
      <c r="H11" s="361">
        <f t="shared" si="0"/>
        <v>1416266.81</v>
      </c>
      <c r="I11" s="361">
        <f t="shared" si="0"/>
        <v>1571351.86</v>
      </c>
      <c r="J11" s="361">
        <f t="shared" si="0"/>
        <v>1584558.3900000001</v>
      </c>
      <c r="K11" s="361">
        <f>K12+K13+K14</f>
        <v>1631384.46</v>
      </c>
      <c r="L11" s="361">
        <f t="shared" si="0"/>
        <v>1473765.32</v>
      </c>
      <c r="M11" s="361">
        <f t="shared" si="0"/>
        <v>1721814.5899999999</v>
      </c>
      <c r="N11" s="375">
        <f>SUM(B11:M11)</f>
        <v>18836673.149999999</v>
      </c>
      <c r="O11" s="595"/>
    </row>
    <row r="12" spans="1:16" ht="18" x14ac:dyDescent="0.25">
      <c r="A12" s="368" t="s">
        <v>160</v>
      </c>
      <c r="B12" s="73">
        <f>125099.68+5740.72</f>
        <v>130840.4</v>
      </c>
      <c r="C12" s="372">
        <f>182790.35+11124.2</f>
        <v>193914.55000000002</v>
      </c>
      <c r="D12" s="73">
        <f>3261.14+259741.1</f>
        <v>263002.23999999999</v>
      </c>
      <c r="E12" s="73">
        <f>8611.08+179478.8</f>
        <v>188089.87999999998</v>
      </c>
      <c r="F12" s="73">
        <f>5569.51+122066.6</f>
        <v>127636.11</v>
      </c>
      <c r="G12" s="73">
        <f>3394.13+260782.96</f>
        <v>264177.08999999997</v>
      </c>
      <c r="H12" s="73">
        <f>3394.13+168270.93</f>
        <v>171665.06</v>
      </c>
      <c r="I12" s="73">
        <f>207652.11+6099.13</f>
        <v>213751.24</v>
      </c>
      <c r="J12" s="73">
        <f>3394.13+122368.97</f>
        <v>125763.1</v>
      </c>
      <c r="K12" s="73">
        <f>1631384.46-K13-K14</f>
        <v>336790.43</v>
      </c>
      <c r="L12" s="73">
        <v>209569.5</v>
      </c>
      <c r="M12" s="73">
        <f>3954.95+120942.3</f>
        <v>124897.25</v>
      </c>
      <c r="N12" s="235">
        <f>SUM(B12:M12)</f>
        <v>2350096.85</v>
      </c>
      <c r="O12" s="595">
        <f>N12/N40</f>
        <v>3.1249468290601577E-2</v>
      </c>
    </row>
    <row r="13" spans="1:16" ht="18" x14ac:dyDescent="0.25">
      <c r="A13" s="369" t="s">
        <v>157</v>
      </c>
      <c r="B13" s="73">
        <v>1055080.82</v>
      </c>
      <c r="C13" s="372">
        <v>1525000.41</v>
      </c>
      <c r="D13" s="73">
        <v>1188831.8600000001</v>
      </c>
      <c r="E13" s="73">
        <v>1360942.74</v>
      </c>
      <c r="F13" s="73">
        <v>1284576.8</v>
      </c>
      <c r="G13" s="73">
        <v>1340438.46</v>
      </c>
      <c r="H13" s="73">
        <v>1244601.75</v>
      </c>
      <c r="I13" s="73">
        <v>1357600.62</v>
      </c>
      <c r="J13" s="73">
        <v>1458795.29</v>
      </c>
      <c r="K13" s="73">
        <v>1289413.21</v>
      </c>
      <c r="L13" s="73">
        <v>1253056.08</v>
      </c>
      <c r="M13" s="73">
        <v>1421783.91</v>
      </c>
      <c r="N13" s="235">
        <f t="shared" ref="N13:N28" si="1">SUM(B13:M13)</f>
        <v>15780121.950000001</v>
      </c>
      <c r="O13" s="595">
        <f>N13/N40</f>
        <v>0.20982982914016965</v>
      </c>
    </row>
    <row r="14" spans="1:16" ht="18" x14ac:dyDescent="0.25">
      <c r="A14" s="370" t="s">
        <v>158</v>
      </c>
      <c r="B14" s="73">
        <v>169659.78</v>
      </c>
      <c r="C14" s="372">
        <v>142900.38</v>
      </c>
      <c r="D14" s="73">
        <v>151491.68</v>
      </c>
      <c r="E14" s="73">
        <v>50948.52</v>
      </c>
      <c r="F14" s="73">
        <v>0</v>
      </c>
      <c r="G14" s="73">
        <v>0</v>
      </c>
      <c r="H14" s="73"/>
      <c r="I14" s="73"/>
      <c r="J14" s="73"/>
      <c r="K14" s="73">
        <v>5180.82</v>
      </c>
      <c r="L14" s="73">
        <v>11139.74</v>
      </c>
      <c r="M14" s="73">
        <v>175133.43</v>
      </c>
      <c r="N14" s="235">
        <f t="shared" si="1"/>
        <v>706454.35000000009</v>
      </c>
      <c r="O14" s="595">
        <f>N14/N40</f>
        <v>9.3937927745754608E-3</v>
      </c>
      <c r="P14" s="181"/>
    </row>
    <row r="15" spans="1:16" ht="18" x14ac:dyDescent="0.25">
      <c r="A15" s="75" t="s">
        <v>46</v>
      </c>
      <c r="B15" s="362">
        <v>668991.88</v>
      </c>
      <c r="C15" s="362">
        <v>836576.82</v>
      </c>
      <c r="D15" s="362">
        <v>858230.42</v>
      </c>
      <c r="E15" s="362">
        <v>502604.2</v>
      </c>
      <c r="F15" s="362">
        <v>747411.38</v>
      </c>
      <c r="G15" s="362">
        <v>934203.8</v>
      </c>
      <c r="H15" s="362">
        <v>940333.85</v>
      </c>
      <c r="I15" s="362">
        <v>788685.61</v>
      </c>
      <c r="J15" s="362">
        <v>870433.95</v>
      </c>
      <c r="K15" s="362">
        <v>625763.68999999994</v>
      </c>
      <c r="L15" s="362">
        <v>819090.83</v>
      </c>
      <c r="M15" s="362">
        <v>889819.4</v>
      </c>
      <c r="N15" s="375">
        <f t="shared" si="1"/>
        <v>9482145.8300000001</v>
      </c>
      <c r="O15" s="595">
        <f>N15/N40</f>
        <v>0.12608502302424046</v>
      </c>
    </row>
    <row r="16" spans="1:16" ht="18" x14ac:dyDescent="0.25">
      <c r="A16" s="370" t="s">
        <v>45</v>
      </c>
      <c r="B16" s="362"/>
      <c r="C16" s="37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235">
        <f t="shared" si="1"/>
        <v>0</v>
      </c>
      <c r="O16" s="595"/>
    </row>
    <row r="17" spans="1:15" ht="18" x14ac:dyDescent="0.25">
      <c r="A17" s="75" t="s">
        <v>44</v>
      </c>
      <c r="B17" s="362">
        <v>922512.07</v>
      </c>
      <c r="C17" s="362">
        <v>1534718.19</v>
      </c>
      <c r="D17" s="362">
        <v>1684180.52</v>
      </c>
      <c r="E17" s="362">
        <v>659863.53</v>
      </c>
      <c r="F17" s="362">
        <v>1302852.23</v>
      </c>
      <c r="G17" s="362">
        <v>2037438.13</v>
      </c>
      <c r="H17" s="362">
        <v>1889292.6</v>
      </c>
      <c r="I17" s="362">
        <v>1770275.37</v>
      </c>
      <c r="J17" s="362">
        <v>2753403.6</v>
      </c>
      <c r="K17" s="362">
        <v>1704269.4</v>
      </c>
      <c r="L17" s="362">
        <v>2035538.02</v>
      </c>
      <c r="M17" s="362">
        <v>2281812.63</v>
      </c>
      <c r="N17" s="375">
        <f t="shared" si="1"/>
        <v>20576156.289999999</v>
      </c>
      <c r="O17" s="595">
        <f>N17/N40</f>
        <v>0.27360316811063218</v>
      </c>
    </row>
    <row r="18" spans="1:15" ht="18" x14ac:dyDescent="0.25">
      <c r="A18" s="370" t="s">
        <v>43</v>
      </c>
      <c r="B18" s="362"/>
      <c r="C18" s="37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235">
        <f t="shared" si="1"/>
        <v>0</v>
      </c>
      <c r="O18" s="595"/>
    </row>
    <row r="19" spans="1:15" ht="18" x14ac:dyDescent="0.25">
      <c r="A19" s="75" t="s">
        <v>159</v>
      </c>
      <c r="B19" s="362">
        <v>1297840.52</v>
      </c>
      <c r="C19" s="362">
        <v>1196052.47</v>
      </c>
      <c r="D19" s="362">
        <v>1234622.6299999999</v>
      </c>
      <c r="E19" s="362">
        <v>1097866.53</v>
      </c>
      <c r="F19" s="362">
        <v>1160513.1200000001</v>
      </c>
      <c r="G19" s="362">
        <v>1477915.61</v>
      </c>
      <c r="H19" s="362">
        <v>2226556.0699999998</v>
      </c>
      <c r="I19" s="362">
        <v>1722337.53</v>
      </c>
      <c r="J19" s="362">
        <v>2186988.62</v>
      </c>
      <c r="K19" s="362">
        <v>1924361.59</v>
      </c>
      <c r="L19" s="362">
        <v>1419777.21</v>
      </c>
      <c r="M19" s="362">
        <v>1338193.48</v>
      </c>
      <c r="N19" s="375">
        <f t="shared" si="1"/>
        <v>18283025.380000003</v>
      </c>
      <c r="O19" s="595">
        <f>N19/N40</f>
        <v>0.24311118151091257</v>
      </c>
    </row>
    <row r="20" spans="1:15" ht="18" x14ac:dyDescent="0.25">
      <c r="A20" s="368" t="s">
        <v>129</v>
      </c>
      <c r="B20" s="362"/>
      <c r="C20" s="37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235">
        <f t="shared" si="1"/>
        <v>0</v>
      </c>
      <c r="O20" s="595"/>
    </row>
    <row r="21" spans="1:15" ht="18" x14ac:dyDescent="0.25">
      <c r="A21" s="363" t="s">
        <v>163</v>
      </c>
      <c r="B21" s="362">
        <f t="shared" ref="B21:M21" si="2">B22+B23</f>
        <v>10288.460000000001</v>
      </c>
      <c r="C21" s="362">
        <f t="shared" si="2"/>
        <v>35955.160000000003</v>
      </c>
      <c r="D21" s="362">
        <f t="shared" si="2"/>
        <v>11731.49</v>
      </c>
      <c r="E21" s="362">
        <f t="shared" si="2"/>
        <v>8090.2699999999995</v>
      </c>
      <c r="F21" s="362">
        <f t="shared" si="2"/>
        <v>7739.8600000000006</v>
      </c>
      <c r="G21" s="362">
        <f t="shared" si="2"/>
        <v>10478.099999999999</v>
      </c>
      <c r="H21" s="362">
        <f t="shared" si="2"/>
        <v>16223.48</v>
      </c>
      <c r="I21" s="362">
        <f t="shared" si="2"/>
        <v>9194.1</v>
      </c>
      <c r="J21" s="362">
        <f t="shared" si="2"/>
        <v>24960.82</v>
      </c>
      <c r="K21" s="362">
        <f t="shared" si="2"/>
        <v>8318.9</v>
      </c>
      <c r="L21" s="362">
        <f t="shared" si="2"/>
        <v>14790.59</v>
      </c>
      <c r="M21" s="362">
        <f t="shared" si="2"/>
        <v>22001.52</v>
      </c>
      <c r="N21" s="375">
        <f t="shared" si="1"/>
        <v>179772.74999999997</v>
      </c>
      <c r="O21" s="595"/>
    </row>
    <row r="22" spans="1:15" ht="18" x14ac:dyDescent="0.25">
      <c r="A22" s="368" t="s">
        <v>40</v>
      </c>
      <c r="B22" s="372">
        <v>481.86</v>
      </c>
      <c r="C22" s="372">
        <v>4791.83</v>
      </c>
      <c r="D22" s="372">
        <v>375.77</v>
      </c>
      <c r="E22" s="372">
        <v>374.78</v>
      </c>
      <c r="F22" s="372">
        <v>240.93</v>
      </c>
      <c r="G22" s="372">
        <f>267.7+26.77</f>
        <v>294.46999999999997</v>
      </c>
      <c r="H22" s="372">
        <f>267.7+26.77</f>
        <v>294.46999999999997</v>
      </c>
      <c r="I22" s="372">
        <v>481.86</v>
      </c>
      <c r="J22" s="372">
        <v>562.16999999999996</v>
      </c>
      <c r="K22" s="372">
        <v>562.16999999999996</v>
      </c>
      <c r="L22" s="372">
        <v>749.56</v>
      </c>
      <c r="M22" s="73">
        <v>428.32</v>
      </c>
      <c r="N22" s="235">
        <f t="shared" si="1"/>
        <v>9638.1899999999987</v>
      </c>
      <c r="O22" s="595">
        <f>N22/N40</f>
        <v>1.2815995765612517E-4</v>
      </c>
    </row>
    <row r="23" spans="1:15" ht="18" x14ac:dyDescent="0.25">
      <c r="A23" s="369" t="s">
        <v>164</v>
      </c>
      <c r="B23" s="406">
        <v>9806.6</v>
      </c>
      <c r="C23" s="406">
        <v>31163.33</v>
      </c>
      <c r="D23" s="406">
        <v>11355.72</v>
      </c>
      <c r="E23" s="406">
        <v>7715.49</v>
      </c>
      <c r="F23" s="406">
        <v>7498.93</v>
      </c>
      <c r="G23" s="406">
        <v>10183.629999999999</v>
      </c>
      <c r="H23" s="406">
        <v>15929.01</v>
      </c>
      <c r="I23" s="406">
        <v>8712.24</v>
      </c>
      <c r="J23" s="406">
        <v>24398.65</v>
      </c>
      <c r="K23" s="406">
        <v>7756.73</v>
      </c>
      <c r="L23" s="406">
        <v>14041.03</v>
      </c>
      <c r="M23" s="406">
        <v>21573.200000000001</v>
      </c>
      <c r="N23" s="235">
        <f t="shared" si="1"/>
        <v>170134.56000000003</v>
      </c>
      <c r="O23" s="595">
        <f>N23/N40</f>
        <v>2.2622959295722014E-3</v>
      </c>
    </row>
    <row r="24" spans="1:15" ht="18" x14ac:dyDescent="0.25">
      <c r="A24" s="405" t="s">
        <v>165</v>
      </c>
      <c r="B24" s="410">
        <v>243354.76</v>
      </c>
      <c r="C24" s="410">
        <v>231329.41</v>
      </c>
      <c r="D24" s="410">
        <v>228323.07</v>
      </c>
      <c r="E24" s="410">
        <v>228323.07</v>
      </c>
      <c r="F24" s="410">
        <v>228323.07</v>
      </c>
      <c r="G24" s="410">
        <v>228323.07</v>
      </c>
      <c r="H24" s="410">
        <v>228323.07</v>
      </c>
      <c r="I24" s="410">
        <v>228323.07</v>
      </c>
      <c r="J24" s="410">
        <v>212099.31</v>
      </c>
      <c r="K24" s="410">
        <v>251633.07</v>
      </c>
      <c r="L24" s="443">
        <v>251633.07</v>
      </c>
      <c r="M24" s="443">
        <v>251633.07</v>
      </c>
      <c r="N24" s="375">
        <f t="shared" si="1"/>
        <v>2811621.11</v>
      </c>
      <c r="O24" s="595">
        <f>N24/N40</f>
        <v>3.7386401637928668E-2</v>
      </c>
    </row>
    <row r="25" spans="1:15" ht="18" x14ac:dyDescent="0.25">
      <c r="A25" s="369" t="s">
        <v>172</v>
      </c>
      <c r="B25" s="527"/>
      <c r="C25" s="407"/>
      <c r="D25" s="408"/>
      <c r="E25" s="408"/>
      <c r="F25" s="408"/>
      <c r="G25" s="408"/>
      <c r="H25" s="408"/>
      <c r="I25" s="408"/>
      <c r="J25" s="408"/>
      <c r="K25" s="408"/>
      <c r="L25" s="407"/>
      <c r="M25" s="409"/>
      <c r="N25" s="235">
        <f t="shared" si="1"/>
        <v>0</v>
      </c>
      <c r="O25" s="595"/>
    </row>
    <row r="26" spans="1:15" ht="18" x14ac:dyDescent="0.25">
      <c r="A26" s="363" t="s">
        <v>166</v>
      </c>
      <c r="B26" s="411">
        <f t="shared" ref="B26:G26" si="3">B27+B28</f>
        <v>109372.43</v>
      </c>
      <c r="C26" s="411">
        <f t="shared" si="3"/>
        <v>105817.36</v>
      </c>
      <c r="D26" s="411">
        <f t="shared" si="3"/>
        <v>81918.259999999995</v>
      </c>
      <c r="E26" s="411">
        <f t="shared" si="3"/>
        <v>70979.64</v>
      </c>
      <c r="F26" s="411">
        <f t="shared" si="3"/>
        <v>71191.490000000005</v>
      </c>
      <c r="G26" s="411">
        <f t="shared" si="3"/>
        <v>70050.39</v>
      </c>
      <c r="H26" s="495">
        <v>70894.55</v>
      </c>
      <c r="I26" s="495">
        <f>I27+I28</f>
        <v>72297</v>
      </c>
      <c r="J26" s="411">
        <v>53545.72</v>
      </c>
      <c r="K26" s="411">
        <f>K27+K28</f>
        <v>66198.960000000006</v>
      </c>
      <c r="L26" s="411">
        <f>L27+L28</f>
        <v>66838.740000000005</v>
      </c>
      <c r="M26" s="411">
        <f>M27+M28</f>
        <v>66642.44</v>
      </c>
      <c r="N26" s="375">
        <f t="shared" si="1"/>
        <v>905746.98</v>
      </c>
      <c r="O26" s="595">
        <f>N26/N40</f>
        <v>1.2043806420496303E-2</v>
      </c>
    </row>
    <row r="27" spans="1:15" ht="18" x14ac:dyDescent="0.25">
      <c r="A27" s="369" t="s">
        <v>147</v>
      </c>
      <c r="B27" s="373">
        <v>0</v>
      </c>
      <c r="C27" s="373">
        <v>0</v>
      </c>
      <c r="D27" s="373">
        <v>0</v>
      </c>
      <c r="E27" s="373">
        <v>0</v>
      </c>
      <c r="F27" s="373">
        <v>0</v>
      </c>
      <c r="G27" s="373">
        <v>0</v>
      </c>
      <c r="H27" s="496">
        <v>0</v>
      </c>
      <c r="I27" s="373">
        <v>0</v>
      </c>
      <c r="J27" s="373">
        <v>0</v>
      </c>
      <c r="K27" s="373">
        <v>0</v>
      </c>
      <c r="L27" s="373">
        <v>0</v>
      </c>
      <c r="M27" s="349">
        <v>0</v>
      </c>
      <c r="N27" s="235">
        <f t="shared" si="1"/>
        <v>0</v>
      </c>
      <c r="O27" s="595"/>
    </row>
    <row r="28" spans="1:15" ht="18" x14ac:dyDescent="0.25">
      <c r="A28" s="369" t="s">
        <v>167</v>
      </c>
      <c r="B28" s="411">
        <v>109372.43</v>
      </c>
      <c r="C28" s="374">
        <v>105817.36</v>
      </c>
      <c r="D28" s="374">
        <v>81918.259999999995</v>
      </c>
      <c r="E28" s="374">
        <v>70979.64</v>
      </c>
      <c r="F28" s="374">
        <v>71191.490000000005</v>
      </c>
      <c r="G28" s="374">
        <v>70050.39</v>
      </c>
      <c r="H28" s="497">
        <v>70894.55</v>
      </c>
      <c r="I28" s="374">
        <v>72297</v>
      </c>
      <c r="J28" s="374"/>
      <c r="K28" s="374">
        <v>66198.960000000006</v>
      </c>
      <c r="L28" s="374">
        <v>66838.740000000005</v>
      </c>
      <c r="M28" s="374">
        <v>66642.44</v>
      </c>
      <c r="N28" s="235">
        <f t="shared" si="1"/>
        <v>852201.26</v>
      </c>
      <c r="O28" s="595"/>
    </row>
    <row r="29" spans="1:15" ht="18" x14ac:dyDescent="0.25">
      <c r="A29" s="75" t="s">
        <v>130</v>
      </c>
      <c r="B29" s="350">
        <f>B11+B15+B17+B19+B21+B24+B26</f>
        <v>4607941.1199999992</v>
      </c>
      <c r="C29" s="350">
        <f>C26+C24+C21+C19+C17+C15+C11</f>
        <v>5802264.75</v>
      </c>
      <c r="D29" s="350">
        <f>D11+D15+D17+D19+D21+D24+D26</f>
        <v>5702332.1699999999</v>
      </c>
      <c r="E29" s="350">
        <f>E11+E15+E17+E19+E21+E24+E26</f>
        <v>4167708.3800000004</v>
      </c>
      <c r="F29" s="350">
        <f>F11+F15+F17+F19+F21+F24+F26</f>
        <v>4930244.0600000015</v>
      </c>
      <c r="G29" s="350">
        <f>G26+G24+G21+G19+G17+G15+G11</f>
        <v>6363024.6499999994</v>
      </c>
      <c r="H29" s="350">
        <f>H11+H15+H17+H19+H21+H24+H26</f>
        <v>6787890.4300000006</v>
      </c>
      <c r="I29" s="350">
        <f>I11+I15+I17+I19+I21+I24+I26</f>
        <v>6162464.54</v>
      </c>
      <c r="J29" s="350">
        <f>J26+J24+J21+J19+J17+J15+J11</f>
        <v>7685990.4100000001</v>
      </c>
      <c r="K29" s="350">
        <f>K26+K24+K21+K19+K17+K15+K11</f>
        <v>6211930.0699999994</v>
      </c>
      <c r="L29" s="350">
        <f>L11+L15+L17+L19+L21+L24+L26</f>
        <v>6081433.7800000003</v>
      </c>
      <c r="M29" s="350">
        <f>M11+M15+M17+M19+M21+M24+M26</f>
        <v>6571917.1299999999</v>
      </c>
      <c r="N29" s="351">
        <f>SUM(B29:M29)</f>
        <v>71075141.49000001</v>
      </c>
      <c r="O29" s="595"/>
    </row>
    <row r="30" spans="1:15" ht="18" x14ac:dyDescent="0.25">
      <c r="A30" s="367" t="s">
        <v>142</v>
      </c>
      <c r="B30" s="365">
        <f t="shared" ref="B30:G30" si="4">B29*5%</f>
        <v>230397.05599999998</v>
      </c>
      <c r="C30" s="413">
        <f t="shared" si="4"/>
        <v>290113.23749999999</v>
      </c>
      <c r="D30" s="365">
        <f t="shared" si="4"/>
        <v>285116.60850000003</v>
      </c>
      <c r="E30" s="365">
        <f t="shared" si="4"/>
        <v>208385.41900000002</v>
      </c>
      <c r="F30" s="365">
        <f t="shared" si="4"/>
        <v>246512.2030000001</v>
      </c>
      <c r="G30" s="365">
        <f t="shared" si="4"/>
        <v>318151.23249999998</v>
      </c>
      <c r="H30" s="365">
        <f t="shared" ref="H30:M30" si="5">H29*5%</f>
        <v>339394.52150000003</v>
      </c>
      <c r="I30" s="365">
        <f t="shared" si="5"/>
        <v>308123.22700000001</v>
      </c>
      <c r="J30" s="365">
        <f t="shared" si="5"/>
        <v>384299.52050000004</v>
      </c>
      <c r="K30" s="365">
        <f t="shared" si="5"/>
        <v>310596.50349999999</v>
      </c>
      <c r="L30" s="365">
        <f t="shared" si="5"/>
        <v>304071.68900000001</v>
      </c>
      <c r="M30" s="365">
        <f t="shared" si="5"/>
        <v>328595.85649999999</v>
      </c>
      <c r="N30" s="366">
        <f>SUM(B30:M30)</f>
        <v>3553757.0745000001</v>
      </c>
      <c r="O30" s="595"/>
    </row>
    <row r="31" spans="1:15" ht="18" x14ac:dyDescent="0.25">
      <c r="A31" s="363" t="s">
        <v>39</v>
      </c>
      <c r="B31" s="362">
        <f>B32+B33+B34+B35+B36+B37</f>
        <v>281610.16000000003</v>
      </c>
      <c r="C31" s="362">
        <f>C32+C33+C34+C35+C36+C37</f>
        <v>322761.53999999998</v>
      </c>
      <c r="D31" s="362">
        <f t="shared" ref="D31:K31" si="6">D32+D33+D34+D35+D36+D37</f>
        <v>318081.19</v>
      </c>
      <c r="E31" s="362">
        <f>E32+E33+E34+E35+E36+E37</f>
        <v>251070.89</v>
      </c>
      <c r="F31" s="362">
        <f>F32+F33+F34+F35+F36+F37</f>
        <v>314871.24</v>
      </c>
      <c r="G31" s="362">
        <f>G32+G33+G34+G35+G36+G37</f>
        <v>287265.83</v>
      </c>
      <c r="H31" s="362">
        <f t="shared" si="6"/>
        <v>299234.02</v>
      </c>
      <c r="I31" s="362">
        <f t="shared" si="6"/>
        <v>361221.29000000004</v>
      </c>
      <c r="J31" s="362">
        <f t="shared" si="6"/>
        <v>496047.72</v>
      </c>
      <c r="K31" s="362">
        <f t="shared" si="6"/>
        <v>340265.01</v>
      </c>
      <c r="L31" s="362">
        <f>L32+L33+L34+L35+L36+L3+L37</f>
        <v>450017.82999999996</v>
      </c>
      <c r="M31" s="362">
        <f>M32+M33+M34+M35+M36+M3+M37</f>
        <v>406790.57</v>
      </c>
      <c r="N31" s="375">
        <f>N32+N33+N34+N35+N36+N37</f>
        <v>4129237.2899999991</v>
      </c>
      <c r="O31" s="595"/>
    </row>
    <row r="32" spans="1:15" ht="18" x14ac:dyDescent="0.25">
      <c r="A32" s="368" t="s">
        <v>42</v>
      </c>
      <c r="B32" s="73">
        <v>17219.91</v>
      </c>
      <c r="C32" s="372">
        <v>34665.5</v>
      </c>
      <c r="D32" s="73">
        <v>25358.6</v>
      </c>
      <c r="E32" s="73">
        <v>28997</v>
      </c>
      <c r="F32" s="372">
        <v>13960.3</v>
      </c>
      <c r="G32" s="73">
        <v>34657.230000000003</v>
      </c>
      <c r="H32" s="73">
        <v>12176.1</v>
      </c>
      <c r="I32" s="73">
        <f>85971.38-I33</f>
        <v>28984.010000000002</v>
      </c>
      <c r="J32" s="73">
        <v>23223.43</v>
      </c>
      <c r="K32" s="73">
        <v>28046</v>
      </c>
      <c r="L32" s="73">
        <v>15744.55</v>
      </c>
      <c r="M32" s="73">
        <v>18741.55</v>
      </c>
      <c r="N32" s="235">
        <f t="shared" ref="N32:N37" si="7">SUM(B32:M32)</f>
        <v>281774.18</v>
      </c>
      <c r="O32" s="595">
        <f>N32/N40</f>
        <v>3.7467789053120342E-3</v>
      </c>
    </row>
    <row r="33" spans="1:16" ht="18" x14ac:dyDescent="0.25">
      <c r="A33" s="368" t="s">
        <v>41</v>
      </c>
      <c r="B33" s="73">
        <v>29016</v>
      </c>
      <c r="C33" s="372">
        <v>57615.56</v>
      </c>
      <c r="D33" s="73">
        <v>57686.75</v>
      </c>
      <c r="E33" s="73">
        <v>0</v>
      </c>
      <c r="F33" s="73">
        <v>77301.08</v>
      </c>
      <c r="G33" s="73">
        <v>0</v>
      </c>
      <c r="H33" s="73">
        <v>0</v>
      </c>
      <c r="I33" s="73">
        <v>56987.37</v>
      </c>
      <c r="J33" s="73">
        <v>159289.25</v>
      </c>
      <c r="K33" s="73">
        <v>0</v>
      </c>
      <c r="L33" s="73">
        <v>162703.75</v>
      </c>
      <c r="M33" s="73">
        <v>38973</v>
      </c>
      <c r="N33" s="235">
        <f t="shared" si="7"/>
        <v>639572.76</v>
      </c>
      <c r="O33" s="595">
        <f>N33/N40</f>
        <v>8.5044617132066409E-3</v>
      </c>
    </row>
    <row r="34" spans="1:16" ht="18" x14ac:dyDescent="0.25">
      <c r="A34" s="368" t="s">
        <v>204</v>
      </c>
      <c r="B34" s="73">
        <v>0</v>
      </c>
      <c r="C34" s="372">
        <v>4944.2700000000004</v>
      </c>
      <c r="D34" s="73">
        <v>0</v>
      </c>
      <c r="E34" s="73">
        <v>0</v>
      </c>
      <c r="F34" s="73">
        <v>0</v>
      </c>
      <c r="G34" s="73"/>
      <c r="H34" s="73"/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235">
        <f t="shared" si="7"/>
        <v>4944.2700000000004</v>
      </c>
      <c r="O34" s="595">
        <f>N34/N40</f>
        <v>6.5744443079089558E-5</v>
      </c>
    </row>
    <row r="35" spans="1:16" ht="18" x14ac:dyDescent="0.25">
      <c r="A35" s="368" t="s">
        <v>200</v>
      </c>
      <c r="B35" s="73">
        <v>772.72</v>
      </c>
      <c r="C35" s="372">
        <v>772.72</v>
      </c>
      <c r="D35" s="73">
        <v>772.72</v>
      </c>
      <c r="E35" s="73">
        <v>772.72</v>
      </c>
      <c r="F35" s="73">
        <v>968.72</v>
      </c>
      <c r="G35" s="73">
        <v>772.72</v>
      </c>
      <c r="H35" s="73">
        <v>772.72</v>
      </c>
      <c r="I35" s="73">
        <v>772.72</v>
      </c>
      <c r="J35" s="73">
        <v>580.48</v>
      </c>
      <c r="K35" s="73">
        <v>384.48</v>
      </c>
      <c r="L35" s="73">
        <v>580.48</v>
      </c>
      <c r="M35" s="73">
        <v>580.48</v>
      </c>
      <c r="N35" s="235">
        <f t="shared" si="7"/>
        <v>8503.68</v>
      </c>
      <c r="O35" s="595">
        <f>N35/N40</f>
        <v>1.1307426692368989E-4</v>
      </c>
    </row>
    <row r="36" spans="1:16" ht="18" x14ac:dyDescent="0.25">
      <c r="A36" s="371" t="s">
        <v>358</v>
      </c>
      <c r="B36" s="433">
        <v>0</v>
      </c>
      <c r="C36" s="364">
        <v>0</v>
      </c>
      <c r="D36" s="352">
        <v>0</v>
      </c>
      <c r="E36" s="494">
        <v>11665.57</v>
      </c>
      <c r="F36" s="385">
        <v>0</v>
      </c>
      <c r="G36" s="494">
        <v>0</v>
      </c>
      <c r="H36" s="352">
        <v>0</v>
      </c>
      <c r="I36" s="352">
        <v>0</v>
      </c>
      <c r="J36" s="352">
        <v>0</v>
      </c>
      <c r="K36" s="352">
        <v>0</v>
      </c>
      <c r="L36" s="352">
        <v>0</v>
      </c>
      <c r="M36" s="352">
        <v>0</v>
      </c>
      <c r="N36" s="235">
        <f t="shared" si="7"/>
        <v>11665.57</v>
      </c>
      <c r="O36" s="595">
        <f>N36/N40</f>
        <v>1.5511822834313955E-4</v>
      </c>
      <c r="P36" s="74"/>
    </row>
    <row r="37" spans="1:16" ht="18" x14ac:dyDescent="0.25">
      <c r="A37" s="439" t="s">
        <v>210</v>
      </c>
      <c r="B37" s="353">
        <f>140+234461.53</f>
        <v>234601.53</v>
      </c>
      <c r="C37" s="414">
        <f>224303.09+460.4</f>
        <v>224763.49</v>
      </c>
      <c r="D37" s="358">
        <f>234023.52+239.6</f>
        <v>234263.12</v>
      </c>
      <c r="E37" s="358">
        <f>560+209075.6</f>
        <v>209635.6</v>
      </c>
      <c r="F37" s="358">
        <f>1050+221591.14</f>
        <v>222641.14</v>
      </c>
      <c r="G37" s="358">
        <f>246269.96+350+5215.92</f>
        <v>251835.88</v>
      </c>
      <c r="H37" s="353">
        <f>630+285655.2</f>
        <v>286285.2</v>
      </c>
      <c r="I37" s="358">
        <f>210+274267.19</f>
        <v>274477.19</v>
      </c>
      <c r="J37" s="358">
        <f>282.06+312672.5</f>
        <v>312954.56</v>
      </c>
      <c r="K37" s="358">
        <f>280+311554.53</f>
        <v>311834.53000000003</v>
      </c>
      <c r="L37" s="358">
        <f>280+270709.05</f>
        <v>270989.05</v>
      </c>
      <c r="M37" s="377">
        <f>140+348355.54</f>
        <v>348495.54</v>
      </c>
      <c r="N37" s="235">
        <f t="shared" si="7"/>
        <v>3182776.8299999991</v>
      </c>
      <c r="O37" s="595">
        <f>N37/N40</f>
        <v>4.2321695646350223E-2</v>
      </c>
      <c r="P37" s="74"/>
    </row>
    <row r="38" spans="1:16" x14ac:dyDescent="0.2">
      <c r="N38" s="214"/>
      <c r="O38" s="594"/>
    </row>
    <row r="39" spans="1:16" ht="18" x14ac:dyDescent="0.25">
      <c r="A39" s="354"/>
      <c r="B39" s="280"/>
      <c r="C39" s="415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1"/>
    </row>
    <row r="40" spans="1:16" ht="15.75" x14ac:dyDescent="0.25">
      <c r="A40" s="355" t="s">
        <v>146</v>
      </c>
      <c r="B40" s="356">
        <f>B29+B31</f>
        <v>4889551.2799999993</v>
      </c>
      <c r="C40" s="359">
        <f>C31+C29</f>
        <v>6125026.29</v>
      </c>
      <c r="D40" s="359">
        <f>D29+D31</f>
        <v>6020413.3600000003</v>
      </c>
      <c r="E40" s="359">
        <f>E29+E31</f>
        <v>4418779.2700000005</v>
      </c>
      <c r="F40" s="359">
        <f>F31+F29</f>
        <v>5245115.3000000017</v>
      </c>
      <c r="G40" s="359">
        <f>G31+G29</f>
        <v>6650290.4799999995</v>
      </c>
      <c r="H40" s="359">
        <f>H31+H29</f>
        <v>7087124.4500000011</v>
      </c>
      <c r="I40" s="359">
        <f>I29+I31</f>
        <v>6523685.8300000001</v>
      </c>
      <c r="J40" s="359">
        <f>J31+J29</f>
        <v>8182038.1299999999</v>
      </c>
      <c r="K40" s="359">
        <f>K29+K31</f>
        <v>6552195.0799999991</v>
      </c>
      <c r="L40" s="359">
        <f>L29+L31</f>
        <v>6531451.6100000003</v>
      </c>
      <c r="M40" s="378">
        <f>M31+M29</f>
        <v>6978707.7000000002</v>
      </c>
      <c r="N40" s="356">
        <f>SUM(B40:M40)</f>
        <v>75204378.780000001</v>
      </c>
    </row>
    <row r="41" spans="1:16" x14ac:dyDescent="0.2">
      <c r="C41" s="423"/>
      <c r="D41" s="424"/>
      <c r="E41" s="424"/>
      <c r="F41" s="424"/>
      <c r="G41" s="424"/>
      <c r="H41" s="423"/>
      <c r="I41" s="424"/>
      <c r="J41" s="424"/>
      <c r="K41" s="424"/>
      <c r="L41" s="424"/>
    </row>
    <row r="42" spans="1:16" ht="16.5" thickBot="1" x14ac:dyDescent="0.3">
      <c r="A42" s="355" t="s">
        <v>145</v>
      </c>
      <c r="B42" s="357">
        <v>6062157.6399999997</v>
      </c>
      <c r="C42" s="359">
        <f>4190469.55-321097.29</f>
        <v>3869372.26</v>
      </c>
      <c r="D42" s="359">
        <v>7070685.1200000001</v>
      </c>
      <c r="E42" s="359">
        <v>4860821.5</v>
      </c>
      <c r="F42" s="359">
        <v>4912246.6399999997</v>
      </c>
      <c r="G42" s="359">
        <v>6566287.9900000002</v>
      </c>
      <c r="H42" s="359">
        <v>7067969.4800000004</v>
      </c>
      <c r="I42" s="506">
        <v>5711983.3499999996</v>
      </c>
      <c r="J42" s="359">
        <v>7688437.2599999998</v>
      </c>
      <c r="K42" s="359">
        <v>7424316.8399999999</v>
      </c>
      <c r="L42" s="359">
        <f>5503749.23+270709.05</f>
        <v>5774458.2800000003</v>
      </c>
      <c r="M42" s="359">
        <v>7788000.6200000001</v>
      </c>
      <c r="N42" s="356">
        <f>SUM(B42:M42)</f>
        <v>74796736.980000004</v>
      </c>
    </row>
    <row r="43" spans="1:16" x14ac:dyDescent="0.2">
      <c r="A43" s="230" t="s">
        <v>469</v>
      </c>
      <c r="H43" s="214"/>
    </row>
    <row r="44" spans="1:16" x14ac:dyDescent="0.2">
      <c r="B44" s="181"/>
      <c r="G44" s="214"/>
      <c r="N44" s="263"/>
    </row>
    <row r="45" spans="1:16" x14ac:dyDescent="0.2">
      <c r="C45" s="360"/>
      <c r="I45" s="263"/>
      <c r="J45" s="230" t="s">
        <v>12</v>
      </c>
      <c r="N45" s="181"/>
    </row>
    <row r="46" spans="1:16" x14ac:dyDescent="0.2">
      <c r="J46" s="360" t="s">
        <v>12</v>
      </c>
      <c r="M46" s="181"/>
    </row>
    <row r="47" spans="1:16" x14ac:dyDescent="0.2">
      <c r="D47" s="181"/>
      <c r="J47" s="181"/>
      <c r="M47" s="263"/>
      <c r="N47" s="181"/>
    </row>
    <row r="48" spans="1:16" x14ac:dyDescent="0.2">
      <c r="H48" s="181"/>
    </row>
  </sheetData>
  <mergeCells count="1">
    <mergeCell ref="A9:N9"/>
  </mergeCells>
  <printOptions horizontalCentered="1" verticalCentered="1"/>
  <pageMargins left="0" right="0" top="0" bottom="0" header="0.31496062992125984" footer="0.31496062992125984"/>
  <pageSetup paperSize="9" scale="48" orientation="landscape" r:id="rId1"/>
  <ignoredErrors>
    <ignoredError sqref="G29 C29 C40 I40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8F74-9F0C-4420-9311-917617E96101}">
  <dimension ref="A1:M259"/>
  <sheetViews>
    <sheetView showGridLines="0" topLeftCell="A229" zoomScaleNormal="100" workbookViewId="0">
      <selection activeCell="E9" sqref="E9"/>
    </sheetView>
  </sheetViews>
  <sheetFormatPr defaultRowHeight="12.75" x14ac:dyDescent="0.2"/>
  <cols>
    <col min="1" max="1" width="7.140625" customWidth="1"/>
    <col min="2" max="2" width="6.7109375" bestFit="1" customWidth="1"/>
    <col min="3" max="3" width="11.42578125" customWidth="1"/>
    <col min="4" max="4" width="39" customWidth="1"/>
    <col min="5" max="5" width="16.5703125" customWidth="1"/>
    <col min="6" max="6" width="16.7109375" customWidth="1"/>
    <col min="7" max="7" width="16.140625" customWidth="1"/>
    <col min="8" max="8" width="16.85546875" customWidth="1"/>
    <col min="9" max="9" width="14" customWidth="1"/>
    <col min="10" max="10" width="15" customWidth="1"/>
    <col min="11" max="11" width="14.7109375" customWidth="1"/>
    <col min="12" max="12" width="21" customWidth="1"/>
    <col min="13" max="13" width="68.5703125" customWidth="1"/>
  </cols>
  <sheetData>
    <row r="1" spans="1:13" x14ac:dyDescent="0.2">
      <c r="A1" s="703" t="s">
        <v>575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5"/>
    </row>
    <row r="2" spans="1:13" x14ac:dyDescent="0.2">
      <c r="A2" s="706"/>
      <c r="B2" s="707"/>
      <c r="C2" s="707"/>
      <c r="D2" s="707"/>
      <c r="E2" s="707"/>
      <c r="F2" s="707"/>
      <c r="G2" s="707"/>
      <c r="H2" s="707"/>
      <c r="I2" s="707"/>
      <c r="J2" s="707"/>
      <c r="K2" s="707"/>
      <c r="L2" s="707"/>
      <c r="M2" s="708"/>
    </row>
    <row r="3" spans="1:13" x14ac:dyDescent="0.2">
      <c r="A3" s="709"/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1"/>
    </row>
    <row r="4" spans="1:13" ht="15" x14ac:dyDescent="0.25">
      <c r="A4" s="712" t="s">
        <v>215</v>
      </c>
      <c r="B4" s="712" t="s">
        <v>216</v>
      </c>
      <c r="C4" s="712" t="s">
        <v>217</v>
      </c>
      <c r="D4" s="712" t="s">
        <v>218</v>
      </c>
      <c r="E4" s="713" t="s">
        <v>219</v>
      </c>
      <c r="F4" s="714"/>
      <c r="G4" s="714"/>
      <c r="H4" s="714"/>
      <c r="I4" s="714"/>
      <c r="J4" s="714"/>
      <c r="K4" s="715"/>
      <c r="L4" s="712" t="s">
        <v>220</v>
      </c>
      <c r="M4" s="712" t="s">
        <v>221</v>
      </c>
    </row>
    <row r="5" spans="1:13" ht="15" x14ac:dyDescent="0.25">
      <c r="A5" s="716"/>
      <c r="B5" s="716"/>
      <c r="C5" s="716"/>
      <c r="D5" s="716"/>
      <c r="E5" s="717" t="s">
        <v>222</v>
      </c>
      <c r="F5" s="717" t="s">
        <v>223</v>
      </c>
      <c r="G5" s="717" t="s">
        <v>224</v>
      </c>
      <c r="H5" s="717" t="s">
        <v>225</v>
      </c>
      <c r="I5" s="717" t="s">
        <v>226</v>
      </c>
      <c r="J5" s="717" t="s">
        <v>227</v>
      </c>
      <c r="K5" s="717" t="s">
        <v>228</v>
      </c>
      <c r="L5" s="716"/>
      <c r="M5" s="716"/>
    </row>
    <row r="6" spans="1:13" ht="14.25" x14ac:dyDescent="0.2">
      <c r="A6" s="545">
        <v>9510</v>
      </c>
      <c r="B6" s="545">
        <v>24647</v>
      </c>
      <c r="C6" s="546">
        <v>45995</v>
      </c>
      <c r="D6" s="545" t="s">
        <v>475</v>
      </c>
      <c r="E6" s="547">
        <v>0</v>
      </c>
      <c r="F6" s="547">
        <v>0</v>
      </c>
      <c r="G6" s="547">
        <v>81090</v>
      </c>
      <c r="H6" s="547">
        <v>0</v>
      </c>
      <c r="I6" s="547">
        <v>0</v>
      </c>
      <c r="J6" s="547">
        <v>0</v>
      </c>
      <c r="K6" s="547">
        <v>0</v>
      </c>
      <c r="L6" s="548">
        <f t="shared" ref="L6:L49" si="0">SUM(E6:K6)</f>
        <v>81090</v>
      </c>
      <c r="M6" s="549" t="s">
        <v>576</v>
      </c>
    </row>
    <row r="7" spans="1:13" ht="14.25" x14ac:dyDescent="0.2">
      <c r="A7" s="545">
        <v>9511</v>
      </c>
      <c r="B7" s="545">
        <v>1141</v>
      </c>
      <c r="C7" s="546">
        <v>45994</v>
      </c>
      <c r="D7" s="545" t="s">
        <v>475</v>
      </c>
      <c r="E7" s="547">
        <v>0</v>
      </c>
      <c r="F7" s="547">
        <v>0</v>
      </c>
      <c r="G7" s="547">
        <v>0</v>
      </c>
      <c r="H7" s="547">
        <v>0</v>
      </c>
      <c r="I7" s="547">
        <v>1038.26</v>
      </c>
      <c r="J7" s="547">
        <v>0</v>
      </c>
      <c r="K7" s="547">
        <v>0</v>
      </c>
      <c r="L7" s="548">
        <f t="shared" si="0"/>
        <v>1038.26</v>
      </c>
      <c r="M7" s="549" t="s">
        <v>577</v>
      </c>
    </row>
    <row r="8" spans="1:13" ht="14.25" x14ac:dyDescent="0.2">
      <c r="A8" s="545">
        <v>9512</v>
      </c>
      <c r="B8" s="545">
        <v>1142</v>
      </c>
      <c r="C8" s="551">
        <v>45994</v>
      </c>
      <c r="D8" s="550" t="s">
        <v>578</v>
      </c>
      <c r="E8" s="547">
        <v>10660.44</v>
      </c>
      <c r="F8" s="547">
        <v>0</v>
      </c>
      <c r="G8" s="547">
        <v>0</v>
      </c>
      <c r="H8" s="547">
        <v>0</v>
      </c>
      <c r="I8" s="547">
        <v>0</v>
      </c>
      <c r="J8" s="547">
        <v>0</v>
      </c>
      <c r="K8" s="547">
        <v>0</v>
      </c>
      <c r="L8" s="548">
        <f t="shared" si="0"/>
        <v>10660.44</v>
      </c>
      <c r="M8" s="552" t="s">
        <v>579</v>
      </c>
    </row>
    <row r="9" spans="1:13" ht="14.25" x14ac:dyDescent="0.2">
      <c r="A9" s="545">
        <v>9513</v>
      </c>
      <c r="B9" s="545">
        <v>1143</v>
      </c>
      <c r="C9" s="551">
        <v>45994</v>
      </c>
      <c r="D9" s="550" t="s">
        <v>285</v>
      </c>
      <c r="E9" s="547">
        <v>0</v>
      </c>
      <c r="F9" s="547">
        <v>0</v>
      </c>
      <c r="G9" s="547">
        <v>1940</v>
      </c>
      <c r="H9" s="547">
        <v>0</v>
      </c>
      <c r="I9" s="547">
        <v>0</v>
      </c>
      <c r="J9" s="547">
        <v>0</v>
      </c>
      <c r="K9" s="547">
        <v>0</v>
      </c>
      <c r="L9" s="548">
        <f t="shared" si="0"/>
        <v>1940</v>
      </c>
      <c r="M9" s="552" t="s">
        <v>580</v>
      </c>
    </row>
    <row r="10" spans="1:13" ht="14.25" x14ac:dyDescent="0.2">
      <c r="A10" s="545">
        <v>9514</v>
      </c>
      <c r="B10" s="545">
        <v>1144</v>
      </c>
      <c r="C10" s="546">
        <v>45999</v>
      </c>
      <c r="D10" s="545" t="s">
        <v>285</v>
      </c>
      <c r="E10" s="547">
        <v>4187.3900000000003</v>
      </c>
      <c r="F10" s="547">
        <v>0</v>
      </c>
      <c r="G10" s="547">
        <v>0</v>
      </c>
      <c r="H10" s="547">
        <v>0</v>
      </c>
      <c r="I10" s="547">
        <v>0</v>
      </c>
      <c r="J10" s="547">
        <v>0</v>
      </c>
      <c r="K10" s="547">
        <v>0</v>
      </c>
      <c r="L10" s="548">
        <f t="shared" si="0"/>
        <v>4187.3900000000003</v>
      </c>
      <c r="M10" s="549" t="s">
        <v>581</v>
      </c>
    </row>
    <row r="11" spans="1:13" ht="14.25" x14ac:dyDescent="0.2">
      <c r="A11" s="545">
        <v>9515</v>
      </c>
      <c r="B11" s="545">
        <v>1145</v>
      </c>
      <c r="C11" s="551">
        <v>45999</v>
      </c>
      <c r="D11" s="550" t="s">
        <v>285</v>
      </c>
      <c r="E11" s="547">
        <v>0</v>
      </c>
      <c r="F11" s="547">
        <v>48642</v>
      </c>
      <c r="G11" s="547">
        <v>0</v>
      </c>
      <c r="H11" s="547">
        <v>0</v>
      </c>
      <c r="I11" s="547">
        <v>0</v>
      </c>
      <c r="J11" s="547">
        <v>0</v>
      </c>
      <c r="K11" s="547">
        <v>0</v>
      </c>
      <c r="L11" s="548">
        <f t="shared" si="0"/>
        <v>48642</v>
      </c>
      <c r="M11" s="552" t="s">
        <v>581</v>
      </c>
    </row>
    <row r="12" spans="1:13" ht="14.25" x14ac:dyDescent="0.2">
      <c r="A12" s="545">
        <v>9516</v>
      </c>
      <c r="B12" s="545">
        <v>1146</v>
      </c>
      <c r="C12" s="551">
        <v>45999</v>
      </c>
      <c r="D12" s="550" t="s">
        <v>582</v>
      </c>
      <c r="E12" s="547">
        <v>0</v>
      </c>
      <c r="F12" s="547">
        <v>0</v>
      </c>
      <c r="G12" s="547">
        <v>107325</v>
      </c>
      <c r="H12" s="547">
        <v>0</v>
      </c>
      <c r="I12" s="547">
        <v>0</v>
      </c>
      <c r="J12" s="547">
        <v>0</v>
      </c>
      <c r="K12" s="547">
        <v>0</v>
      </c>
      <c r="L12" s="548">
        <f t="shared" si="0"/>
        <v>107325</v>
      </c>
      <c r="M12" s="552" t="s">
        <v>581</v>
      </c>
    </row>
    <row r="13" spans="1:13" ht="14.25" x14ac:dyDescent="0.2">
      <c r="A13" s="545">
        <v>9517</v>
      </c>
      <c r="B13" s="545">
        <v>1147</v>
      </c>
      <c r="C13" s="546">
        <v>45999</v>
      </c>
      <c r="D13" s="545" t="s">
        <v>285</v>
      </c>
      <c r="E13" s="547">
        <v>1431.41</v>
      </c>
      <c r="F13" s="547">
        <v>0</v>
      </c>
      <c r="G13" s="547">
        <v>0</v>
      </c>
      <c r="H13" s="547">
        <v>0</v>
      </c>
      <c r="I13" s="547">
        <v>0</v>
      </c>
      <c r="J13" s="547">
        <v>0</v>
      </c>
      <c r="K13" s="547">
        <v>0</v>
      </c>
      <c r="L13" s="548">
        <f t="shared" si="0"/>
        <v>1431.41</v>
      </c>
      <c r="M13" s="549" t="s">
        <v>581</v>
      </c>
    </row>
    <row r="14" spans="1:13" ht="14.25" x14ac:dyDescent="0.2">
      <c r="A14" s="545">
        <v>9518</v>
      </c>
      <c r="B14" s="545">
        <v>1148</v>
      </c>
      <c r="C14" s="551">
        <v>45999</v>
      </c>
      <c r="D14" s="550" t="s">
        <v>474</v>
      </c>
      <c r="E14" s="547">
        <v>0</v>
      </c>
      <c r="F14" s="547">
        <v>0</v>
      </c>
      <c r="G14" s="547">
        <v>1940</v>
      </c>
      <c r="H14" s="547">
        <v>0</v>
      </c>
      <c r="I14" s="547">
        <v>0</v>
      </c>
      <c r="J14" s="547">
        <v>0</v>
      </c>
      <c r="K14" s="547">
        <v>0</v>
      </c>
      <c r="L14" s="548">
        <f t="shared" si="0"/>
        <v>1940</v>
      </c>
      <c r="M14" s="552" t="s">
        <v>583</v>
      </c>
    </row>
    <row r="15" spans="1:13" ht="14.25" x14ac:dyDescent="0.2">
      <c r="A15" s="545">
        <v>9519</v>
      </c>
      <c r="B15" s="545">
        <v>1149</v>
      </c>
      <c r="C15" s="551">
        <v>45999</v>
      </c>
      <c r="D15" s="550" t="s">
        <v>582</v>
      </c>
      <c r="E15" s="547">
        <v>0</v>
      </c>
      <c r="F15" s="547">
        <v>0</v>
      </c>
      <c r="G15" s="547">
        <v>0</v>
      </c>
      <c r="H15" s="547">
        <v>0</v>
      </c>
      <c r="I15" s="547">
        <v>704.05</v>
      </c>
      <c r="J15" s="547">
        <v>0</v>
      </c>
      <c r="K15" s="547">
        <v>0</v>
      </c>
      <c r="L15" s="548">
        <f t="shared" si="0"/>
        <v>704.05</v>
      </c>
      <c r="M15" s="552" t="s">
        <v>581</v>
      </c>
    </row>
    <row r="16" spans="1:13" ht="14.25" x14ac:dyDescent="0.2">
      <c r="A16" s="545">
        <v>9520</v>
      </c>
      <c r="B16" s="545">
        <v>1150</v>
      </c>
      <c r="C16" s="551">
        <v>45999</v>
      </c>
      <c r="D16" s="550" t="s">
        <v>584</v>
      </c>
      <c r="E16" s="547">
        <v>9008.65</v>
      </c>
      <c r="F16" s="547">
        <v>0</v>
      </c>
      <c r="G16" s="547">
        <v>0</v>
      </c>
      <c r="H16" s="547">
        <v>0</v>
      </c>
      <c r="I16" s="547">
        <v>0</v>
      </c>
      <c r="J16" s="547">
        <v>0</v>
      </c>
      <c r="K16" s="547">
        <v>0</v>
      </c>
      <c r="L16" s="548">
        <f t="shared" si="0"/>
        <v>9008.65</v>
      </c>
      <c r="M16" s="552" t="s">
        <v>585</v>
      </c>
    </row>
    <row r="17" spans="1:13" ht="14.25" x14ac:dyDescent="0.2">
      <c r="A17" s="545">
        <v>9521</v>
      </c>
      <c r="B17" s="545">
        <v>1151</v>
      </c>
      <c r="C17" s="551">
        <v>45999</v>
      </c>
      <c r="D17" s="550" t="s">
        <v>584</v>
      </c>
      <c r="E17" s="547">
        <v>0</v>
      </c>
      <c r="F17" s="547">
        <v>53064</v>
      </c>
      <c r="G17" s="547">
        <v>0</v>
      </c>
      <c r="H17" s="547">
        <v>0</v>
      </c>
      <c r="I17" s="547">
        <v>0</v>
      </c>
      <c r="J17" s="547">
        <v>0</v>
      </c>
      <c r="K17" s="547">
        <v>0</v>
      </c>
      <c r="L17" s="548">
        <f t="shared" si="0"/>
        <v>53064</v>
      </c>
      <c r="M17" s="552" t="s">
        <v>585</v>
      </c>
    </row>
    <row r="18" spans="1:13" ht="14.25" x14ac:dyDescent="0.2">
      <c r="A18" s="545">
        <v>9522</v>
      </c>
      <c r="B18" s="545">
        <v>1152</v>
      </c>
      <c r="C18" s="551">
        <v>45999</v>
      </c>
      <c r="D18" s="553" t="s">
        <v>475</v>
      </c>
      <c r="E18" s="547">
        <v>0</v>
      </c>
      <c r="F18" s="547">
        <v>0</v>
      </c>
      <c r="G18" s="547">
        <v>162585.45000000001</v>
      </c>
      <c r="H18" s="547">
        <v>0</v>
      </c>
      <c r="I18" s="547">
        <v>0</v>
      </c>
      <c r="J18" s="547">
        <v>0</v>
      </c>
      <c r="K18" s="547">
        <v>0</v>
      </c>
      <c r="L18" s="548">
        <f t="shared" si="0"/>
        <v>162585.45000000001</v>
      </c>
      <c r="M18" s="554" t="s">
        <v>585</v>
      </c>
    </row>
    <row r="19" spans="1:13" ht="14.25" x14ac:dyDescent="0.2">
      <c r="A19" s="545">
        <v>9523</v>
      </c>
      <c r="B19" s="545">
        <v>1153</v>
      </c>
      <c r="C19" s="551">
        <v>45999</v>
      </c>
      <c r="D19" s="550" t="s">
        <v>474</v>
      </c>
      <c r="E19" s="547">
        <v>0</v>
      </c>
      <c r="F19" s="547">
        <v>0</v>
      </c>
      <c r="G19" s="547">
        <v>1940</v>
      </c>
      <c r="H19" s="547">
        <v>0</v>
      </c>
      <c r="I19" s="547">
        <v>0</v>
      </c>
      <c r="J19" s="547">
        <v>0</v>
      </c>
      <c r="K19" s="547">
        <v>0</v>
      </c>
      <c r="L19" s="548">
        <f t="shared" si="0"/>
        <v>1940</v>
      </c>
      <c r="M19" s="552" t="s">
        <v>586</v>
      </c>
    </row>
    <row r="20" spans="1:13" ht="14.25" x14ac:dyDescent="0.2">
      <c r="A20" s="545">
        <v>9524</v>
      </c>
      <c r="B20" s="545">
        <v>1154</v>
      </c>
      <c r="C20" s="551">
        <v>45999</v>
      </c>
      <c r="D20" s="550" t="s">
        <v>475</v>
      </c>
      <c r="E20" s="547">
        <v>0</v>
      </c>
      <c r="F20" s="547">
        <v>0</v>
      </c>
      <c r="G20" s="547">
        <v>0</v>
      </c>
      <c r="H20" s="547">
        <v>0</v>
      </c>
      <c r="I20" s="547">
        <v>1373.8</v>
      </c>
      <c r="J20" s="547">
        <v>0</v>
      </c>
      <c r="K20" s="547">
        <v>0</v>
      </c>
      <c r="L20" s="548">
        <f t="shared" si="0"/>
        <v>1373.8</v>
      </c>
      <c r="M20" s="555" t="s">
        <v>587</v>
      </c>
    </row>
    <row r="21" spans="1:13" ht="14.25" x14ac:dyDescent="0.2">
      <c r="A21" s="545">
        <v>9525</v>
      </c>
      <c r="B21" s="545">
        <v>1155</v>
      </c>
      <c r="C21" s="551">
        <v>45999</v>
      </c>
      <c r="D21" s="545" t="s">
        <v>456</v>
      </c>
      <c r="E21" s="547">
        <v>0</v>
      </c>
      <c r="F21" s="547">
        <v>0</v>
      </c>
      <c r="G21" s="547">
        <v>0</v>
      </c>
      <c r="H21" s="547">
        <v>1059.8</v>
      </c>
      <c r="I21" s="547">
        <v>0</v>
      </c>
      <c r="J21" s="547">
        <v>0</v>
      </c>
      <c r="K21" s="547">
        <v>0</v>
      </c>
      <c r="L21" s="548">
        <f t="shared" si="0"/>
        <v>1059.8</v>
      </c>
      <c r="M21" s="552" t="s">
        <v>486</v>
      </c>
    </row>
    <row r="22" spans="1:13" ht="14.25" x14ac:dyDescent="0.2">
      <c r="A22" s="545">
        <v>9526</v>
      </c>
      <c r="B22" s="545">
        <v>1156</v>
      </c>
      <c r="C22" s="551">
        <v>45999</v>
      </c>
      <c r="D22" s="545" t="s">
        <v>456</v>
      </c>
      <c r="E22" s="547">
        <v>0</v>
      </c>
      <c r="F22" s="547">
        <v>0</v>
      </c>
      <c r="G22" s="547">
        <v>0</v>
      </c>
      <c r="H22" s="547">
        <v>1166.0999999999999</v>
      </c>
      <c r="I22" s="547">
        <v>0</v>
      </c>
      <c r="J22" s="547">
        <v>0</v>
      </c>
      <c r="K22" s="547">
        <v>0</v>
      </c>
      <c r="L22" s="548">
        <f t="shared" si="0"/>
        <v>1166.0999999999999</v>
      </c>
      <c r="M22" s="549" t="s">
        <v>486</v>
      </c>
    </row>
    <row r="23" spans="1:13" ht="14.25" x14ac:dyDescent="0.2">
      <c r="A23" s="545">
        <v>9527</v>
      </c>
      <c r="B23" s="545">
        <v>1157</v>
      </c>
      <c r="C23" s="551">
        <v>45999</v>
      </c>
      <c r="D23" s="545" t="s">
        <v>474</v>
      </c>
      <c r="E23" s="547">
        <v>0</v>
      </c>
      <c r="F23" s="547">
        <v>0</v>
      </c>
      <c r="G23" s="547">
        <v>1940</v>
      </c>
      <c r="H23" s="547">
        <v>0</v>
      </c>
      <c r="I23" s="547">
        <v>0</v>
      </c>
      <c r="J23" s="547">
        <v>0</v>
      </c>
      <c r="K23" s="547">
        <v>0</v>
      </c>
      <c r="L23" s="548">
        <f t="shared" si="0"/>
        <v>1940</v>
      </c>
      <c r="M23" s="549" t="s">
        <v>588</v>
      </c>
    </row>
    <row r="24" spans="1:13" ht="14.25" x14ac:dyDescent="0.2">
      <c r="A24" s="545">
        <v>9528</v>
      </c>
      <c r="B24" s="545">
        <v>1158</v>
      </c>
      <c r="C24" s="551">
        <v>45999</v>
      </c>
      <c r="D24" s="545" t="s">
        <v>453</v>
      </c>
      <c r="E24" s="547">
        <v>11152.36</v>
      </c>
      <c r="F24" s="547">
        <v>0</v>
      </c>
      <c r="G24" s="547">
        <v>0</v>
      </c>
      <c r="H24" s="547">
        <v>0</v>
      </c>
      <c r="I24" s="547">
        <v>0</v>
      </c>
      <c r="J24" s="547">
        <v>0</v>
      </c>
      <c r="K24" s="547">
        <v>0</v>
      </c>
      <c r="L24" s="548">
        <f t="shared" si="0"/>
        <v>11152.36</v>
      </c>
      <c r="M24" s="549" t="s">
        <v>589</v>
      </c>
    </row>
    <row r="25" spans="1:13" ht="14.25" x14ac:dyDescent="0.2">
      <c r="A25" s="545">
        <v>9529</v>
      </c>
      <c r="B25" s="545">
        <v>1159</v>
      </c>
      <c r="C25" s="551">
        <v>45999</v>
      </c>
      <c r="D25" s="550" t="s">
        <v>453</v>
      </c>
      <c r="E25" s="547">
        <v>11139.74</v>
      </c>
      <c r="F25" s="547">
        <v>0</v>
      </c>
      <c r="G25" s="547">
        <v>0</v>
      </c>
      <c r="H25" s="547">
        <v>0</v>
      </c>
      <c r="I25" s="547">
        <v>0</v>
      </c>
      <c r="J25" s="547">
        <v>0</v>
      </c>
      <c r="K25" s="547">
        <v>0</v>
      </c>
      <c r="L25" s="548">
        <f t="shared" si="0"/>
        <v>11139.74</v>
      </c>
      <c r="M25" s="552" t="s">
        <v>590</v>
      </c>
    </row>
    <row r="26" spans="1:13" ht="14.25" x14ac:dyDescent="0.2">
      <c r="A26" s="545">
        <v>9530</v>
      </c>
      <c r="B26" s="545">
        <v>1160</v>
      </c>
      <c r="C26" s="551">
        <v>45999</v>
      </c>
      <c r="D26" s="550" t="s">
        <v>591</v>
      </c>
      <c r="E26" s="547">
        <v>18676.12</v>
      </c>
      <c r="F26" s="547">
        <v>0</v>
      </c>
      <c r="G26" s="547">
        <v>0</v>
      </c>
      <c r="H26" s="547">
        <v>0</v>
      </c>
      <c r="I26" s="547">
        <v>0</v>
      </c>
      <c r="J26" s="547">
        <v>0</v>
      </c>
      <c r="K26" s="547">
        <v>0</v>
      </c>
      <c r="L26" s="548">
        <f t="shared" si="0"/>
        <v>18676.12</v>
      </c>
      <c r="M26" s="552" t="s">
        <v>485</v>
      </c>
    </row>
    <row r="27" spans="1:13" ht="14.25" x14ac:dyDescent="0.2">
      <c r="A27" s="545">
        <v>9531</v>
      </c>
      <c r="B27" s="545">
        <v>1161</v>
      </c>
      <c r="C27" s="551">
        <v>46000</v>
      </c>
      <c r="D27" s="550" t="s">
        <v>285</v>
      </c>
      <c r="E27" s="547">
        <v>2249.36</v>
      </c>
      <c r="F27" s="547">
        <v>0</v>
      </c>
      <c r="G27" s="547">
        <v>0</v>
      </c>
      <c r="H27" s="547">
        <v>0</v>
      </c>
      <c r="I27" s="547">
        <v>0</v>
      </c>
      <c r="J27" s="547">
        <v>0</v>
      </c>
      <c r="K27" s="547">
        <v>0</v>
      </c>
      <c r="L27" s="548">
        <f t="shared" si="0"/>
        <v>2249.36</v>
      </c>
      <c r="M27" s="552" t="s">
        <v>592</v>
      </c>
    </row>
    <row r="28" spans="1:13" ht="14.25" x14ac:dyDescent="0.2">
      <c r="A28" s="545">
        <v>9532</v>
      </c>
      <c r="B28" s="545">
        <v>1162</v>
      </c>
      <c r="C28" s="551">
        <v>46000</v>
      </c>
      <c r="D28" s="550" t="s">
        <v>285</v>
      </c>
      <c r="E28" s="547">
        <v>9778.2800000000007</v>
      </c>
      <c r="F28" s="547">
        <v>0</v>
      </c>
      <c r="G28" s="547">
        <v>0</v>
      </c>
      <c r="H28" s="547">
        <v>0</v>
      </c>
      <c r="I28" s="547">
        <v>0</v>
      </c>
      <c r="J28" s="547">
        <v>0</v>
      </c>
      <c r="K28" s="547">
        <v>0</v>
      </c>
      <c r="L28" s="548">
        <f t="shared" si="0"/>
        <v>9778.2800000000007</v>
      </c>
      <c r="M28" s="552" t="s">
        <v>592</v>
      </c>
    </row>
    <row r="29" spans="1:13" ht="14.25" x14ac:dyDescent="0.2">
      <c r="A29" s="545">
        <v>9533</v>
      </c>
      <c r="B29" s="545">
        <v>1163</v>
      </c>
      <c r="C29" s="551">
        <v>46000</v>
      </c>
      <c r="D29" s="550" t="s">
        <v>456</v>
      </c>
      <c r="E29" s="547">
        <v>0</v>
      </c>
      <c r="F29" s="547">
        <v>0</v>
      </c>
      <c r="G29" s="547">
        <v>48095.94</v>
      </c>
      <c r="H29" s="547">
        <v>0</v>
      </c>
      <c r="I29" s="547">
        <v>0</v>
      </c>
      <c r="J29" s="547">
        <v>0</v>
      </c>
      <c r="K29" s="547">
        <v>0</v>
      </c>
      <c r="L29" s="548">
        <f t="shared" si="0"/>
        <v>48095.94</v>
      </c>
      <c r="M29" s="552" t="s">
        <v>593</v>
      </c>
    </row>
    <row r="30" spans="1:13" ht="14.25" x14ac:dyDescent="0.2">
      <c r="A30" s="545">
        <v>9534</v>
      </c>
      <c r="B30" s="545">
        <v>1164</v>
      </c>
      <c r="C30" s="551">
        <v>46000</v>
      </c>
      <c r="D30" s="553" t="s">
        <v>456</v>
      </c>
      <c r="E30" s="547">
        <v>0</v>
      </c>
      <c r="F30" s="547">
        <v>0</v>
      </c>
      <c r="G30" s="547">
        <v>1940</v>
      </c>
      <c r="H30" s="547">
        <v>0</v>
      </c>
      <c r="I30" s="547">
        <v>0</v>
      </c>
      <c r="J30" s="547">
        <v>0</v>
      </c>
      <c r="K30" s="547">
        <v>0</v>
      </c>
      <c r="L30" s="548">
        <f t="shared" si="0"/>
        <v>1940</v>
      </c>
      <c r="M30" s="554" t="s">
        <v>588</v>
      </c>
    </row>
    <row r="31" spans="1:13" ht="14.25" x14ac:dyDescent="0.2">
      <c r="A31" s="545">
        <v>9535</v>
      </c>
      <c r="B31" s="545">
        <v>1165</v>
      </c>
      <c r="C31" s="551">
        <v>46000</v>
      </c>
      <c r="D31" s="550" t="s">
        <v>594</v>
      </c>
      <c r="E31" s="547">
        <v>5810.18</v>
      </c>
      <c r="F31" s="547">
        <v>0</v>
      </c>
      <c r="G31" s="547">
        <v>0</v>
      </c>
      <c r="H31" s="547">
        <v>0</v>
      </c>
      <c r="I31" s="547">
        <v>0</v>
      </c>
      <c r="J31" s="547">
        <v>0</v>
      </c>
      <c r="K31" s="547">
        <v>0</v>
      </c>
      <c r="L31" s="548">
        <f t="shared" si="0"/>
        <v>5810.18</v>
      </c>
      <c r="M31" s="552" t="s">
        <v>595</v>
      </c>
    </row>
    <row r="32" spans="1:13" ht="14.25" x14ac:dyDescent="0.2">
      <c r="A32" s="545">
        <v>9536</v>
      </c>
      <c r="B32" s="545">
        <v>1166</v>
      </c>
      <c r="C32" s="551">
        <v>46000</v>
      </c>
      <c r="D32" s="550" t="s">
        <v>594</v>
      </c>
      <c r="E32" s="547">
        <v>0</v>
      </c>
      <c r="F32" s="547">
        <v>47536.5</v>
      </c>
      <c r="G32" s="547">
        <v>0</v>
      </c>
      <c r="H32" s="547">
        <v>0</v>
      </c>
      <c r="I32" s="547">
        <v>0</v>
      </c>
      <c r="J32" s="547">
        <v>0</v>
      </c>
      <c r="K32" s="547">
        <v>0</v>
      </c>
      <c r="L32" s="548">
        <f t="shared" si="0"/>
        <v>47536.5</v>
      </c>
      <c r="M32" s="552" t="s">
        <v>593</v>
      </c>
    </row>
    <row r="33" spans="1:13" ht="14.25" x14ac:dyDescent="0.2">
      <c r="A33" s="545">
        <v>9537</v>
      </c>
      <c r="B33" s="545">
        <v>1167</v>
      </c>
      <c r="C33" s="551">
        <v>46000</v>
      </c>
      <c r="D33" s="550" t="s">
        <v>453</v>
      </c>
      <c r="E33" s="547">
        <v>0</v>
      </c>
      <c r="F33" s="547">
        <v>927.36</v>
      </c>
      <c r="G33" s="547">
        <v>0</v>
      </c>
      <c r="H33" s="547">
        <v>0</v>
      </c>
      <c r="I33" s="547">
        <v>0</v>
      </c>
      <c r="J33" s="547">
        <v>0</v>
      </c>
      <c r="K33" s="547">
        <v>0</v>
      </c>
      <c r="L33" s="548">
        <f t="shared" si="0"/>
        <v>927.36</v>
      </c>
      <c r="M33" s="552" t="s">
        <v>596</v>
      </c>
    </row>
    <row r="34" spans="1:13" ht="14.25" x14ac:dyDescent="0.2">
      <c r="A34" s="545">
        <v>9538</v>
      </c>
      <c r="B34" s="545">
        <v>1168</v>
      </c>
      <c r="C34" s="551">
        <v>46000</v>
      </c>
      <c r="D34" s="550" t="s">
        <v>453</v>
      </c>
      <c r="E34" s="547">
        <v>17303.09</v>
      </c>
      <c r="F34" s="547">
        <v>0</v>
      </c>
      <c r="G34" s="547">
        <v>0</v>
      </c>
      <c r="H34" s="547">
        <v>0</v>
      </c>
      <c r="I34" s="547">
        <v>0</v>
      </c>
      <c r="J34" s="547">
        <v>0</v>
      </c>
      <c r="K34" s="547">
        <v>0</v>
      </c>
      <c r="L34" s="548">
        <f t="shared" si="0"/>
        <v>17303.09</v>
      </c>
      <c r="M34" s="552" t="s">
        <v>597</v>
      </c>
    </row>
    <row r="35" spans="1:13" ht="14.25" x14ac:dyDescent="0.2">
      <c r="A35" s="545">
        <v>9539</v>
      </c>
      <c r="B35" s="545">
        <v>1169</v>
      </c>
      <c r="C35" s="551">
        <v>46000</v>
      </c>
      <c r="D35" s="550" t="s">
        <v>453</v>
      </c>
      <c r="E35" s="547">
        <v>0</v>
      </c>
      <c r="F35" s="547">
        <v>85123.5</v>
      </c>
      <c r="G35" s="547">
        <v>0</v>
      </c>
      <c r="H35" s="547">
        <v>0</v>
      </c>
      <c r="I35" s="547">
        <v>0</v>
      </c>
      <c r="J35" s="547">
        <v>0</v>
      </c>
      <c r="K35" s="547">
        <v>0</v>
      </c>
      <c r="L35" s="548">
        <f t="shared" si="0"/>
        <v>85123.5</v>
      </c>
      <c r="M35" s="552" t="s">
        <v>597</v>
      </c>
    </row>
    <row r="36" spans="1:13" ht="14.25" x14ac:dyDescent="0.2">
      <c r="A36" s="545">
        <v>9540</v>
      </c>
      <c r="B36" s="545">
        <v>1170</v>
      </c>
      <c r="C36" s="551">
        <v>46000</v>
      </c>
      <c r="D36" s="550" t="s">
        <v>453</v>
      </c>
      <c r="E36" s="547">
        <v>0</v>
      </c>
      <c r="F36" s="547">
        <v>874.37</v>
      </c>
      <c r="G36" s="547">
        <v>0</v>
      </c>
      <c r="H36" s="547">
        <v>0</v>
      </c>
      <c r="I36" s="547">
        <v>0</v>
      </c>
      <c r="J36" s="547">
        <v>0</v>
      </c>
      <c r="K36" s="547">
        <v>0</v>
      </c>
      <c r="L36" s="548">
        <f t="shared" si="0"/>
        <v>874.37</v>
      </c>
      <c r="M36" s="552" t="s">
        <v>489</v>
      </c>
    </row>
    <row r="37" spans="1:13" ht="14.25" x14ac:dyDescent="0.2">
      <c r="A37" s="545">
        <v>9541</v>
      </c>
      <c r="B37" s="545">
        <v>1171</v>
      </c>
      <c r="C37" s="551">
        <v>46000</v>
      </c>
      <c r="D37" s="550" t="s">
        <v>285</v>
      </c>
      <c r="E37" s="547">
        <v>0</v>
      </c>
      <c r="F37" s="547">
        <v>900.86</v>
      </c>
      <c r="G37" s="547">
        <v>0</v>
      </c>
      <c r="H37" s="547">
        <v>0</v>
      </c>
      <c r="I37" s="547">
        <v>0</v>
      </c>
      <c r="J37" s="547">
        <v>0</v>
      </c>
      <c r="K37" s="547">
        <v>0</v>
      </c>
      <c r="L37" s="548">
        <f t="shared" si="0"/>
        <v>900.86</v>
      </c>
      <c r="M37" s="552" t="s">
        <v>598</v>
      </c>
    </row>
    <row r="38" spans="1:13" ht="14.25" x14ac:dyDescent="0.2">
      <c r="A38" s="545">
        <v>9542</v>
      </c>
      <c r="B38" s="545">
        <v>1172</v>
      </c>
      <c r="C38" s="551">
        <v>46000</v>
      </c>
      <c r="D38" s="550" t="s">
        <v>584</v>
      </c>
      <c r="E38" s="547">
        <v>0</v>
      </c>
      <c r="F38" s="547">
        <v>695.52</v>
      </c>
      <c r="G38" s="547">
        <v>0</v>
      </c>
      <c r="H38" s="547">
        <v>0</v>
      </c>
      <c r="I38" s="547">
        <v>0</v>
      </c>
      <c r="J38" s="547">
        <v>0</v>
      </c>
      <c r="K38" s="547">
        <v>0</v>
      </c>
      <c r="L38" s="548">
        <f t="shared" si="0"/>
        <v>695.52</v>
      </c>
      <c r="M38" s="552" t="s">
        <v>586</v>
      </c>
    </row>
    <row r="39" spans="1:13" ht="14.25" x14ac:dyDescent="0.2">
      <c r="A39" s="545">
        <v>9543</v>
      </c>
      <c r="B39" s="545">
        <v>1173</v>
      </c>
      <c r="C39" s="551">
        <v>46000</v>
      </c>
      <c r="D39" s="550" t="s">
        <v>285</v>
      </c>
      <c r="E39" s="547">
        <v>0</v>
      </c>
      <c r="F39" s="547">
        <v>874.37</v>
      </c>
      <c r="G39" s="547">
        <v>0</v>
      </c>
      <c r="H39" s="547">
        <v>0</v>
      </c>
      <c r="I39" s="547">
        <v>0</v>
      </c>
      <c r="J39" s="547">
        <v>0</v>
      </c>
      <c r="K39" s="547">
        <v>0</v>
      </c>
      <c r="L39" s="548">
        <f t="shared" si="0"/>
        <v>874.37</v>
      </c>
      <c r="M39" s="552" t="s">
        <v>599</v>
      </c>
    </row>
    <row r="40" spans="1:13" ht="14.25" x14ac:dyDescent="0.2">
      <c r="A40" s="545">
        <v>9544</v>
      </c>
      <c r="B40" s="545">
        <v>1174</v>
      </c>
      <c r="C40" s="551">
        <v>46000</v>
      </c>
      <c r="D40" s="550" t="s">
        <v>454</v>
      </c>
      <c r="E40" s="547">
        <v>0</v>
      </c>
      <c r="F40" s="547">
        <v>1391.04</v>
      </c>
      <c r="G40" s="547">
        <v>0</v>
      </c>
      <c r="H40" s="547">
        <v>0</v>
      </c>
      <c r="I40" s="547">
        <v>0</v>
      </c>
      <c r="J40" s="547">
        <v>0</v>
      </c>
      <c r="K40" s="547">
        <v>0</v>
      </c>
      <c r="L40" s="548">
        <f t="shared" si="0"/>
        <v>1391.04</v>
      </c>
      <c r="M40" s="552" t="s">
        <v>600</v>
      </c>
    </row>
    <row r="41" spans="1:13" ht="14.25" x14ac:dyDescent="0.2">
      <c r="A41" s="545">
        <v>9545</v>
      </c>
      <c r="B41" s="545">
        <v>1175</v>
      </c>
      <c r="C41" s="551">
        <v>46000</v>
      </c>
      <c r="D41" s="550" t="s">
        <v>477</v>
      </c>
      <c r="E41" s="547">
        <v>0</v>
      </c>
      <c r="F41" s="547">
        <v>0</v>
      </c>
      <c r="G41" s="547">
        <v>1940</v>
      </c>
      <c r="H41" s="547">
        <v>0</v>
      </c>
      <c r="I41" s="547">
        <v>0</v>
      </c>
      <c r="J41" s="547">
        <v>0</v>
      </c>
      <c r="K41" s="547">
        <v>0</v>
      </c>
      <c r="L41" s="548">
        <f t="shared" si="0"/>
        <v>1940</v>
      </c>
      <c r="M41" s="552" t="s">
        <v>600</v>
      </c>
    </row>
    <row r="42" spans="1:13" ht="14.25" x14ac:dyDescent="0.2">
      <c r="A42" s="545">
        <v>9546</v>
      </c>
      <c r="B42" s="545">
        <v>1176</v>
      </c>
      <c r="C42" s="551">
        <v>46000</v>
      </c>
      <c r="D42" s="550" t="s">
        <v>339</v>
      </c>
      <c r="E42" s="547">
        <v>0</v>
      </c>
      <c r="F42" s="547">
        <v>0</v>
      </c>
      <c r="G42" s="547">
        <v>230599.05</v>
      </c>
      <c r="H42" s="547">
        <v>0</v>
      </c>
      <c r="I42" s="547">
        <v>0</v>
      </c>
      <c r="J42" s="547">
        <v>0</v>
      </c>
      <c r="K42" s="547">
        <v>0</v>
      </c>
      <c r="L42" s="548">
        <f t="shared" si="0"/>
        <v>230599.05</v>
      </c>
      <c r="M42" s="552" t="s">
        <v>597</v>
      </c>
    </row>
    <row r="43" spans="1:13" ht="14.25" x14ac:dyDescent="0.2">
      <c r="A43" s="545">
        <v>9547</v>
      </c>
      <c r="B43" s="545">
        <v>1177</v>
      </c>
      <c r="C43" s="551">
        <v>46000</v>
      </c>
      <c r="D43" s="550" t="s">
        <v>339</v>
      </c>
      <c r="E43" s="547">
        <v>0</v>
      </c>
      <c r="F43" s="547">
        <v>0</v>
      </c>
      <c r="G43" s="547">
        <v>0</v>
      </c>
      <c r="H43" s="547">
        <v>196051.09</v>
      </c>
      <c r="I43" s="547">
        <v>0</v>
      </c>
      <c r="J43" s="547">
        <v>0</v>
      </c>
      <c r="K43" s="547">
        <v>0</v>
      </c>
      <c r="L43" s="548">
        <f t="shared" si="0"/>
        <v>196051.09</v>
      </c>
      <c r="M43" s="552" t="s">
        <v>597</v>
      </c>
    </row>
    <row r="44" spans="1:13" ht="14.25" x14ac:dyDescent="0.2">
      <c r="A44" s="545">
        <v>9548</v>
      </c>
      <c r="B44" s="545">
        <v>1178</v>
      </c>
      <c r="C44" s="551">
        <v>46000</v>
      </c>
      <c r="D44" s="550" t="s">
        <v>578</v>
      </c>
      <c r="E44" s="547">
        <f>2676.92+1278.03</f>
        <v>3954.95</v>
      </c>
      <c r="F44" s="547">
        <v>16454.02</v>
      </c>
      <c r="G44" s="547">
        <v>796.9</v>
      </c>
      <c r="H44" s="547">
        <v>0</v>
      </c>
      <c r="I44" s="547">
        <v>0</v>
      </c>
      <c r="J44" s="547">
        <v>0</v>
      </c>
      <c r="K44" s="547">
        <v>0</v>
      </c>
      <c r="L44" s="548">
        <f t="shared" si="0"/>
        <v>21205.870000000003</v>
      </c>
      <c r="M44" s="552" t="s">
        <v>601</v>
      </c>
    </row>
    <row r="45" spans="1:13" ht="14.25" x14ac:dyDescent="0.2">
      <c r="A45" s="545">
        <v>9549</v>
      </c>
      <c r="B45" s="545">
        <v>1179</v>
      </c>
      <c r="C45" s="551">
        <v>46000</v>
      </c>
      <c r="D45" s="550" t="s">
        <v>454</v>
      </c>
      <c r="E45" s="547">
        <v>0</v>
      </c>
      <c r="F45" s="547">
        <v>0</v>
      </c>
      <c r="G45" s="547">
        <v>1002.5</v>
      </c>
      <c r="H45" s="547">
        <v>0</v>
      </c>
      <c r="I45" s="547">
        <v>26.77</v>
      </c>
      <c r="J45" s="547">
        <v>0</v>
      </c>
      <c r="K45" s="547">
        <v>0</v>
      </c>
      <c r="L45" s="548">
        <f t="shared" si="0"/>
        <v>1029.27</v>
      </c>
      <c r="M45" s="552" t="s">
        <v>602</v>
      </c>
    </row>
    <row r="46" spans="1:13" s="597" customFormat="1" ht="14.25" x14ac:dyDescent="0.2">
      <c r="A46" s="545">
        <v>9550</v>
      </c>
      <c r="B46" s="545">
        <v>1180</v>
      </c>
      <c r="C46" s="551">
        <v>46000</v>
      </c>
      <c r="D46" s="550" t="s">
        <v>283</v>
      </c>
      <c r="E46" s="547">
        <v>0</v>
      </c>
      <c r="F46" s="547">
        <f>463.68+463.68+463.68+437.18+463.68+463.68+463.68+463.68+463.68+463.68+437.18+463.68+463.68+463.68+463.68+463.68+463.68+437.19</f>
        <v>8266.7500000000018</v>
      </c>
      <c r="G46" s="547">
        <f>776+776</f>
        <v>1552</v>
      </c>
      <c r="H46" s="547">
        <v>0</v>
      </c>
      <c r="I46" s="547">
        <v>0</v>
      </c>
      <c r="J46" s="547">
        <v>0</v>
      </c>
      <c r="K46" s="547">
        <v>0</v>
      </c>
      <c r="L46" s="548">
        <f t="shared" si="0"/>
        <v>9818.7500000000018</v>
      </c>
      <c r="M46" s="552" t="s">
        <v>603</v>
      </c>
    </row>
    <row r="47" spans="1:13" ht="14.25" x14ac:dyDescent="0.2">
      <c r="A47" s="545">
        <v>9551</v>
      </c>
      <c r="B47" s="545">
        <v>1181</v>
      </c>
      <c r="C47" s="551">
        <v>46002</v>
      </c>
      <c r="D47" s="550" t="s">
        <v>454</v>
      </c>
      <c r="E47" s="547">
        <v>0</v>
      </c>
      <c r="F47" s="547">
        <v>419.52</v>
      </c>
      <c r="G47" s="547">
        <v>776</v>
      </c>
      <c r="H47" s="547">
        <v>0</v>
      </c>
      <c r="I47" s="547">
        <v>26.77</v>
      </c>
      <c r="J47" s="547">
        <v>0</v>
      </c>
      <c r="K47" s="547">
        <v>0</v>
      </c>
      <c r="L47" s="548">
        <f t="shared" si="0"/>
        <v>1222.29</v>
      </c>
      <c r="M47" s="552" t="s">
        <v>604</v>
      </c>
    </row>
    <row r="48" spans="1:13" ht="14.25" x14ac:dyDescent="0.2">
      <c r="A48" s="545">
        <v>9552</v>
      </c>
      <c r="B48" s="545">
        <v>1182</v>
      </c>
      <c r="C48" s="718">
        <v>46002</v>
      </c>
      <c r="D48" s="550" t="s">
        <v>474</v>
      </c>
      <c r="E48" s="547">
        <v>0</v>
      </c>
      <c r="F48" s="547">
        <v>968.87</v>
      </c>
      <c r="G48" s="547">
        <v>776</v>
      </c>
      <c r="H48" s="547">
        <v>0</v>
      </c>
      <c r="I48" s="547">
        <v>0</v>
      </c>
      <c r="J48" s="547">
        <v>0</v>
      </c>
      <c r="K48" s="547">
        <v>0</v>
      </c>
      <c r="L48" s="548">
        <f t="shared" si="0"/>
        <v>1744.87</v>
      </c>
      <c r="M48" s="552" t="s">
        <v>605</v>
      </c>
    </row>
    <row r="49" spans="1:13" ht="14.25" x14ac:dyDescent="0.2">
      <c r="A49" s="545">
        <v>9553</v>
      </c>
      <c r="B49" s="545">
        <v>1183</v>
      </c>
      <c r="C49" s="551">
        <v>46002</v>
      </c>
      <c r="D49" s="550" t="s">
        <v>474</v>
      </c>
      <c r="E49" s="547">
        <v>0</v>
      </c>
      <c r="F49" s="547">
        <v>968.87</v>
      </c>
      <c r="G49" s="547">
        <v>776</v>
      </c>
      <c r="H49" s="547">
        <v>0</v>
      </c>
      <c r="I49" s="547">
        <v>0</v>
      </c>
      <c r="J49" s="547">
        <v>0</v>
      </c>
      <c r="K49" s="547">
        <v>0</v>
      </c>
      <c r="L49" s="548">
        <f t="shared" si="0"/>
        <v>1744.87</v>
      </c>
      <c r="M49" s="552" t="s">
        <v>606</v>
      </c>
    </row>
    <row r="50" spans="1:13" ht="14.25" x14ac:dyDescent="0.2">
      <c r="A50" s="545">
        <v>9554</v>
      </c>
      <c r="B50" s="545">
        <v>1184</v>
      </c>
      <c r="C50" s="718">
        <v>46002</v>
      </c>
      <c r="D50" s="550" t="s">
        <v>607</v>
      </c>
      <c r="E50" s="547">
        <v>0</v>
      </c>
      <c r="F50" s="547">
        <v>485.76</v>
      </c>
      <c r="G50" s="547">
        <v>776</v>
      </c>
      <c r="H50" s="547">
        <v>0</v>
      </c>
      <c r="I50" s="547">
        <v>26.77</v>
      </c>
      <c r="J50" s="547">
        <v>0</v>
      </c>
      <c r="K50" s="547">
        <v>0</v>
      </c>
      <c r="L50" s="548">
        <f t="shared" ref="L50:L77" si="1">SUM(E50:K50)</f>
        <v>1288.53</v>
      </c>
      <c r="M50" s="552" t="s">
        <v>608</v>
      </c>
    </row>
    <row r="51" spans="1:13" ht="14.25" x14ac:dyDescent="0.2">
      <c r="A51" s="545">
        <v>9555</v>
      </c>
      <c r="B51" s="545">
        <v>1185</v>
      </c>
      <c r="C51" s="551">
        <v>46002</v>
      </c>
      <c r="D51" s="550" t="s">
        <v>609</v>
      </c>
      <c r="E51" s="547">
        <v>0</v>
      </c>
      <c r="F51" s="547">
        <v>762.64</v>
      </c>
      <c r="G51" s="547">
        <v>776</v>
      </c>
      <c r="H51" s="547">
        <v>0</v>
      </c>
      <c r="I51" s="547">
        <v>0</v>
      </c>
      <c r="J51" s="547">
        <v>0</v>
      </c>
      <c r="K51" s="547">
        <v>0</v>
      </c>
      <c r="L51" s="548">
        <f t="shared" si="1"/>
        <v>1538.6399999999999</v>
      </c>
      <c r="M51" s="552" t="s">
        <v>610</v>
      </c>
    </row>
    <row r="52" spans="1:13" s="597" customFormat="1" ht="14.25" x14ac:dyDescent="0.2">
      <c r="A52" s="545">
        <v>9556</v>
      </c>
      <c r="B52" s="545">
        <v>1186</v>
      </c>
      <c r="C52" s="718">
        <v>46002</v>
      </c>
      <c r="D52" s="550" t="s">
        <v>611</v>
      </c>
      <c r="E52" s="547">
        <v>0</v>
      </c>
      <c r="F52" s="547">
        <f>499.01+865.09</f>
        <v>1364.1</v>
      </c>
      <c r="G52" s="547">
        <f>776+776</f>
        <v>1552</v>
      </c>
      <c r="H52" s="547">
        <v>0</v>
      </c>
      <c r="I52" s="547">
        <v>0</v>
      </c>
      <c r="J52" s="547">
        <v>0</v>
      </c>
      <c r="K52" s="547">
        <v>0</v>
      </c>
      <c r="L52" s="548">
        <f t="shared" si="1"/>
        <v>2916.1</v>
      </c>
      <c r="M52" s="552" t="s">
        <v>612</v>
      </c>
    </row>
    <row r="53" spans="1:13" ht="14.25" x14ac:dyDescent="0.2">
      <c r="A53" s="545">
        <v>9557</v>
      </c>
      <c r="B53" s="545">
        <v>1187</v>
      </c>
      <c r="C53" s="551">
        <v>46002</v>
      </c>
      <c r="D53" s="550" t="s">
        <v>477</v>
      </c>
      <c r="E53" s="547">
        <v>0</v>
      </c>
      <c r="F53" s="547">
        <v>762.64</v>
      </c>
      <c r="G53" s="547">
        <v>776</v>
      </c>
      <c r="H53" s="547">
        <v>0</v>
      </c>
      <c r="I53" s="547">
        <v>0</v>
      </c>
      <c r="J53" s="547">
        <v>0</v>
      </c>
      <c r="K53" s="547">
        <v>0</v>
      </c>
      <c r="L53" s="548">
        <f t="shared" si="1"/>
        <v>1538.6399999999999</v>
      </c>
      <c r="M53" s="552" t="s">
        <v>613</v>
      </c>
    </row>
    <row r="54" spans="1:13" ht="14.25" x14ac:dyDescent="0.2">
      <c r="A54" s="545">
        <v>9558</v>
      </c>
      <c r="B54" s="545">
        <v>1188</v>
      </c>
      <c r="C54" s="718">
        <v>46002</v>
      </c>
      <c r="D54" s="550" t="s">
        <v>454</v>
      </c>
      <c r="E54" s="547">
        <v>0</v>
      </c>
      <c r="F54" s="547">
        <f>514.46+462.36</f>
        <v>976.82</v>
      </c>
      <c r="G54" s="547">
        <f>776+776+776+776</f>
        <v>3104</v>
      </c>
      <c r="H54" s="547">
        <v>0</v>
      </c>
      <c r="I54" s="547">
        <v>0</v>
      </c>
      <c r="J54" s="547">
        <v>0</v>
      </c>
      <c r="K54" s="547">
        <v>0</v>
      </c>
      <c r="L54" s="548">
        <f t="shared" si="1"/>
        <v>4080.82</v>
      </c>
      <c r="M54" s="552" t="s">
        <v>614</v>
      </c>
    </row>
    <row r="55" spans="1:13" ht="14.25" x14ac:dyDescent="0.2">
      <c r="A55" s="545">
        <v>9559</v>
      </c>
      <c r="B55" s="545">
        <v>1189</v>
      </c>
      <c r="C55" s="551">
        <v>46002</v>
      </c>
      <c r="D55" s="550" t="s">
        <v>454</v>
      </c>
      <c r="E55" s="547">
        <v>0</v>
      </c>
      <c r="F55" s="547">
        <f>870.84+870.84+968.86</f>
        <v>2710.54</v>
      </c>
      <c r="G55" s="547">
        <f>1331.06+776+776</f>
        <v>2883.06</v>
      </c>
      <c r="H55" s="547">
        <v>0</v>
      </c>
      <c r="I55" s="547">
        <f>26.77+26.77</f>
        <v>53.54</v>
      </c>
      <c r="J55" s="547">
        <v>0</v>
      </c>
      <c r="K55" s="547">
        <v>0</v>
      </c>
      <c r="L55" s="548">
        <f t="shared" si="1"/>
        <v>5647.14</v>
      </c>
      <c r="M55" s="552" t="s">
        <v>615</v>
      </c>
    </row>
    <row r="56" spans="1:13" ht="14.25" x14ac:dyDescent="0.2">
      <c r="A56" s="545">
        <v>9560</v>
      </c>
      <c r="B56" s="545">
        <v>1190</v>
      </c>
      <c r="C56" s="718">
        <v>46002</v>
      </c>
      <c r="D56" s="550" t="s">
        <v>454</v>
      </c>
      <c r="E56" s="547">
        <v>0</v>
      </c>
      <c r="F56" s="547">
        <v>870.84</v>
      </c>
      <c r="G56" s="547">
        <v>776</v>
      </c>
      <c r="H56" s="547">
        <v>0</v>
      </c>
      <c r="I56" s="547">
        <v>26.77</v>
      </c>
      <c r="J56" s="547">
        <v>0</v>
      </c>
      <c r="K56" s="547">
        <v>0</v>
      </c>
      <c r="L56" s="548">
        <f t="shared" si="1"/>
        <v>1673.6100000000001</v>
      </c>
      <c r="M56" s="552" t="s">
        <v>604</v>
      </c>
    </row>
    <row r="57" spans="1:13" ht="14.25" x14ac:dyDescent="0.2">
      <c r="A57" s="545">
        <v>9561</v>
      </c>
      <c r="B57" s="545">
        <v>1191</v>
      </c>
      <c r="C57" s="551">
        <v>46002</v>
      </c>
      <c r="D57" s="550" t="s">
        <v>454</v>
      </c>
      <c r="E57" s="547">
        <v>0</v>
      </c>
      <c r="F57" s="547">
        <v>870.84</v>
      </c>
      <c r="G57" s="547">
        <v>776</v>
      </c>
      <c r="H57" s="547">
        <v>0</v>
      </c>
      <c r="I57" s="547">
        <v>26.77</v>
      </c>
      <c r="J57" s="547">
        <v>0</v>
      </c>
      <c r="K57" s="547">
        <v>0</v>
      </c>
      <c r="L57" s="548">
        <f t="shared" si="1"/>
        <v>1673.6100000000001</v>
      </c>
      <c r="M57" s="552" t="s">
        <v>490</v>
      </c>
    </row>
    <row r="58" spans="1:13" s="597" customFormat="1" ht="14.25" x14ac:dyDescent="0.2">
      <c r="A58" s="545">
        <v>9562</v>
      </c>
      <c r="B58" s="545">
        <v>1192</v>
      </c>
      <c r="C58" s="718">
        <v>46002</v>
      </c>
      <c r="D58" s="550" t="s">
        <v>578</v>
      </c>
      <c r="E58" s="547">
        <v>0</v>
      </c>
      <c r="F58" s="547">
        <v>762.64</v>
      </c>
      <c r="G58" s="547">
        <f>776+776</f>
        <v>1552</v>
      </c>
      <c r="H58" s="547">
        <v>0</v>
      </c>
      <c r="I58" s="547">
        <v>0</v>
      </c>
      <c r="J58" s="547">
        <v>0</v>
      </c>
      <c r="K58" s="547">
        <v>0</v>
      </c>
      <c r="L58" s="548">
        <f t="shared" si="1"/>
        <v>2314.64</v>
      </c>
      <c r="M58" s="552" t="s">
        <v>476</v>
      </c>
    </row>
    <row r="59" spans="1:13" ht="14.25" x14ac:dyDescent="0.2">
      <c r="A59" s="545">
        <v>9563</v>
      </c>
      <c r="B59" s="545">
        <v>1193</v>
      </c>
      <c r="C59" s="551">
        <v>46002</v>
      </c>
      <c r="D59" s="550" t="s">
        <v>611</v>
      </c>
      <c r="E59" s="547">
        <v>0</v>
      </c>
      <c r="F59" s="547">
        <v>0</v>
      </c>
      <c r="G59" s="547">
        <v>776</v>
      </c>
      <c r="H59" s="547">
        <v>0</v>
      </c>
      <c r="I59" s="547">
        <v>0</v>
      </c>
      <c r="J59" s="547">
        <v>0</v>
      </c>
      <c r="K59" s="547">
        <v>0</v>
      </c>
      <c r="L59" s="548">
        <f t="shared" si="1"/>
        <v>776</v>
      </c>
      <c r="M59" s="552" t="s">
        <v>616</v>
      </c>
    </row>
    <row r="60" spans="1:13" ht="14.25" x14ac:dyDescent="0.2">
      <c r="A60" s="719">
        <v>9564</v>
      </c>
      <c r="B60" s="719">
        <v>1194</v>
      </c>
      <c r="C60" s="720"/>
      <c r="D60" s="721" t="s">
        <v>617</v>
      </c>
      <c r="E60" s="722"/>
      <c r="F60" s="722"/>
      <c r="G60" s="722"/>
      <c r="H60" s="722"/>
      <c r="I60" s="722"/>
      <c r="J60" s="722"/>
      <c r="K60" s="722"/>
      <c r="L60" s="723"/>
      <c r="M60" s="724"/>
    </row>
    <row r="61" spans="1:13" ht="14.25" x14ac:dyDescent="0.2">
      <c r="A61" s="545">
        <v>9565</v>
      </c>
      <c r="B61" s="545">
        <v>1195</v>
      </c>
      <c r="C61" s="551">
        <v>46002</v>
      </c>
      <c r="D61" s="553" t="s">
        <v>453</v>
      </c>
      <c r="E61" s="547">
        <f>2676.92+5600+2249.36</f>
        <v>10526.28</v>
      </c>
      <c r="F61" s="547">
        <v>0</v>
      </c>
      <c r="G61" s="547">
        <v>0</v>
      </c>
      <c r="H61" s="547">
        <v>0</v>
      </c>
      <c r="I61" s="547">
        <v>0</v>
      </c>
      <c r="J61" s="547">
        <v>0</v>
      </c>
      <c r="K61" s="547">
        <v>0</v>
      </c>
      <c r="L61" s="548">
        <f t="shared" si="1"/>
        <v>10526.28</v>
      </c>
      <c r="M61" s="554" t="s">
        <v>590</v>
      </c>
    </row>
    <row r="62" spans="1:13" ht="14.25" x14ac:dyDescent="0.2">
      <c r="A62" s="545">
        <v>9566</v>
      </c>
      <c r="B62" s="545">
        <v>1196</v>
      </c>
      <c r="C62" s="718">
        <v>46002</v>
      </c>
      <c r="D62" s="553" t="s">
        <v>285</v>
      </c>
      <c r="E62" s="547">
        <f>2676.92+7101.36+2044.87</f>
        <v>11823.149999999998</v>
      </c>
      <c r="F62" s="547">
        <v>0</v>
      </c>
      <c r="G62" s="547">
        <v>0</v>
      </c>
      <c r="H62" s="547">
        <v>0</v>
      </c>
      <c r="I62" s="547">
        <v>0</v>
      </c>
      <c r="J62" s="547">
        <v>0</v>
      </c>
      <c r="K62" s="547">
        <v>0</v>
      </c>
      <c r="L62" s="548">
        <f t="shared" si="1"/>
        <v>11823.149999999998</v>
      </c>
      <c r="M62" s="554" t="s">
        <v>592</v>
      </c>
    </row>
    <row r="63" spans="1:13" ht="14.25" x14ac:dyDescent="0.2">
      <c r="A63" s="545">
        <v>9567</v>
      </c>
      <c r="B63" s="545">
        <v>1197</v>
      </c>
      <c r="C63" s="551">
        <v>46002</v>
      </c>
      <c r="D63" s="553" t="s">
        <v>453</v>
      </c>
      <c r="E63" s="547">
        <v>0</v>
      </c>
      <c r="F63" s="547">
        <v>968.87</v>
      </c>
      <c r="G63" s="547">
        <f>776+776+776</f>
        <v>2328</v>
      </c>
      <c r="H63" s="547">
        <f>247.8+41.3</f>
        <v>289.10000000000002</v>
      </c>
      <c r="I63" s="547">
        <v>0</v>
      </c>
      <c r="J63" s="547">
        <v>0</v>
      </c>
      <c r="K63" s="547">
        <v>0</v>
      </c>
      <c r="L63" s="548">
        <f t="shared" si="1"/>
        <v>3585.97</v>
      </c>
      <c r="M63" s="554" t="s">
        <v>479</v>
      </c>
    </row>
    <row r="64" spans="1:13" ht="14.25" x14ac:dyDescent="0.2">
      <c r="A64" s="545">
        <v>9568</v>
      </c>
      <c r="B64" s="545">
        <v>1198</v>
      </c>
      <c r="C64" s="718">
        <v>46002</v>
      </c>
      <c r="D64" s="550" t="s">
        <v>453</v>
      </c>
      <c r="E64" s="547">
        <v>0</v>
      </c>
      <c r="F64" s="547">
        <v>874.37</v>
      </c>
      <c r="G64" s="547">
        <v>0</v>
      </c>
      <c r="H64" s="547">
        <v>0</v>
      </c>
      <c r="I64" s="547">
        <v>0</v>
      </c>
      <c r="J64" s="547">
        <v>0</v>
      </c>
      <c r="K64" s="547">
        <v>0</v>
      </c>
      <c r="L64" s="548">
        <f t="shared" si="1"/>
        <v>874.37</v>
      </c>
      <c r="M64" s="552" t="s">
        <v>618</v>
      </c>
    </row>
    <row r="65" spans="1:13" ht="14.25" x14ac:dyDescent="0.2">
      <c r="A65" s="545">
        <v>9569</v>
      </c>
      <c r="B65" s="545">
        <v>1199</v>
      </c>
      <c r="C65" s="551">
        <v>46002</v>
      </c>
      <c r="D65" s="550" t="s">
        <v>453</v>
      </c>
      <c r="E65" s="547">
        <v>0</v>
      </c>
      <c r="F65" s="547">
        <v>870.84</v>
      </c>
      <c r="G65" s="547">
        <v>776</v>
      </c>
      <c r="H65" s="547">
        <v>0</v>
      </c>
      <c r="I65" s="547">
        <v>0</v>
      </c>
      <c r="J65" s="547">
        <v>0</v>
      </c>
      <c r="K65" s="547">
        <v>0</v>
      </c>
      <c r="L65" s="548">
        <f t="shared" si="1"/>
        <v>1646.8400000000001</v>
      </c>
      <c r="M65" s="552" t="s">
        <v>608</v>
      </c>
    </row>
    <row r="66" spans="1:13" ht="14.25" x14ac:dyDescent="0.2">
      <c r="A66" s="545">
        <v>9570</v>
      </c>
      <c r="B66" s="545">
        <v>1200</v>
      </c>
      <c r="C66" s="718">
        <v>46002</v>
      </c>
      <c r="D66" s="545" t="s">
        <v>453</v>
      </c>
      <c r="E66" s="547">
        <v>0</v>
      </c>
      <c r="F66" s="547">
        <v>463.68</v>
      </c>
      <c r="G66" s="547">
        <f>776+776</f>
        <v>1552</v>
      </c>
      <c r="H66" s="547">
        <v>412.8</v>
      </c>
      <c r="I66" s="547">
        <v>0</v>
      </c>
      <c r="J66" s="547">
        <v>0</v>
      </c>
      <c r="K66" s="547">
        <v>0</v>
      </c>
      <c r="L66" s="548">
        <f t="shared" si="1"/>
        <v>2428.48</v>
      </c>
      <c r="M66" s="549" t="s">
        <v>619</v>
      </c>
    </row>
    <row r="67" spans="1:13" s="597" customFormat="1" ht="14.25" x14ac:dyDescent="0.2">
      <c r="A67" s="719">
        <v>9571</v>
      </c>
      <c r="B67" s="719">
        <v>1201</v>
      </c>
      <c r="C67" s="725"/>
      <c r="D67" s="726" t="s">
        <v>617</v>
      </c>
      <c r="E67" s="722">
        <v>0</v>
      </c>
      <c r="F67" s="722">
        <v>0</v>
      </c>
      <c r="G67" s="722">
        <v>0</v>
      </c>
      <c r="H67" s="722">
        <v>0</v>
      </c>
      <c r="I67" s="722">
        <v>0</v>
      </c>
      <c r="J67" s="722">
        <v>0</v>
      </c>
      <c r="K67" s="722">
        <v>0</v>
      </c>
      <c r="L67" s="723">
        <f t="shared" si="1"/>
        <v>0</v>
      </c>
      <c r="M67" s="727"/>
    </row>
    <row r="68" spans="1:13" ht="14.25" x14ac:dyDescent="0.2">
      <c r="A68" s="545">
        <v>9572</v>
      </c>
      <c r="B68" s="545">
        <v>1202</v>
      </c>
      <c r="C68" s="718">
        <v>46002</v>
      </c>
      <c r="D68" s="550" t="s">
        <v>584</v>
      </c>
      <c r="E68" s="547">
        <v>0</v>
      </c>
      <c r="F68" s="547">
        <v>463.68</v>
      </c>
      <c r="G68" s="547">
        <v>0</v>
      </c>
      <c r="H68" s="547">
        <v>0</v>
      </c>
      <c r="I68" s="547">
        <v>0</v>
      </c>
      <c r="J68" s="547">
        <v>0</v>
      </c>
      <c r="K68" s="547">
        <v>0</v>
      </c>
      <c r="L68" s="548">
        <f t="shared" si="1"/>
        <v>463.68</v>
      </c>
      <c r="M68" s="552" t="s">
        <v>620</v>
      </c>
    </row>
    <row r="69" spans="1:13" ht="14.25" x14ac:dyDescent="0.2">
      <c r="A69" s="545">
        <v>9573</v>
      </c>
      <c r="B69" s="545">
        <v>1203</v>
      </c>
      <c r="C69" s="551">
        <v>46002</v>
      </c>
      <c r="D69" s="550" t="s">
        <v>473</v>
      </c>
      <c r="E69" s="547">
        <v>0</v>
      </c>
      <c r="F69" s="547">
        <v>874.81</v>
      </c>
      <c r="G69" s="547">
        <f>776+776+776</f>
        <v>2328</v>
      </c>
      <c r="H69" s="547">
        <v>0</v>
      </c>
      <c r="I69" s="547">
        <v>0</v>
      </c>
      <c r="J69" s="547">
        <v>0</v>
      </c>
      <c r="K69" s="547">
        <v>0</v>
      </c>
      <c r="L69" s="548">
        <f t="shared" si="1"/>
        <v>3202.81</v>
      </c>
      <c r="M69" s="552" t="s">
        <v>605</v>
      </c>
    </row>
    <row r="70" spans="1:13" ht="14.25" x14ac:dyDescent="0.2">
      <c r="A70" s="545">
        <v>9574</v>
      </c>
      <c r="B70" s="545">
        <v>1204</v>
      </c>
      <c r="C70" s="718">
        <v>46002</v>
      </c>
      <c r="D70" s="550" t="s">
        <v>473</v>
      </c>
      <c r="E70" s="547">
        <v>0</v>
      </c>
      <c r="F70" s="547">
        <f>968.87+968.87</f>
        <v>1937.74</v>
      </c>
      <c r="G70" s="547">
        <f>776+776+776+776</f>
        <v>3104</v>
      </c>
      <c r="H70" s="547">
        <f>1528.1+165.2</f>
        <v>1693.3</v>
      </c>
      <c r="I70" s="547">
        <v>0</v>
      </c>
      <c r="J70" s="547">
        <v>0</v>
      </c>
      <c r="K70" s="547">
        <v>0</v>
      </c>
      <c r="L70" s="548">
        <f t="shared" si="1"/>
        <v>6735.04</v>
      </c>
      <c r="M70" s="552" t="s">
        <v>604</v>
      </c>
    </row>
    <row r="71" spans="1:13" ht="14.25" x14ac:dyDescent="0.2">
      <c r="A71" s="545">
        <v>9575</v>
      </c>
      <c r="B71" s="545">
        <v>1205</v>
      </c>
      <c r="C71" s="551">
        <v>46002</v>
      </c>
      <c r="D71" s="550" t="s">
        <v>473</v>
      </c>
      <c r="E71" s="547">
        <v>0</v>
      </c>
      <c r="F71" s="547">
        <v>968.87</v>
      </c>
      <c r="G71" s="547">
        <v>776</v>
      </c>
      <c r="H71" s="547">
        <v>0</v>
      </c>
      <c r="I71" s="547">
        <v>0</v>
      </c>
      <c r="J71" s="547">
        <v>0</v>
      </c>
      <c r="K71" s="547">
        <v>0</v>
      </c>
      <c r="L71" s="548">
        <f t="shared" si="1"/>
        <v>1744.87</v>
      </c>
      <c r="M71" s="552" t="s">
        <v>619</v>
      </c>
    </row>
    <row r="72" spans="1:13" ht="14.25" x14ac:dyDescent="0.2">
      <c r="A72" s="545">
        <v>9576</v>
      </c>
      <c r="B72" s="545">
        <v>1206</v>
      </c>
      <c r="C72" s="718">
        <v>46002</v>
      </c>
      <c r="D72" s="550" t="s">
        <v>473</v>
      </c>
      <c r="E72" s="547">
        <v>0</v>
      </c>
      <c r="F72" s="547">
        <v>463.68</v>
      </c>
      <c r="G72" s="547">
        <v>776</v>
      </c>
      <c r="H72" s="547">
        <v>0</v>
      </c>
      <c r="I72" s="547">
        <v>0</v>
      </c>
      <c r="J72" s="547">
        <v>0</v>
      </c>
      <c r="K72" s="547">
        <v>0</v>
      </c>
      <c r="L72" s="548">
        <f>SUM(E72:K72)</f>
        <v>1239.68</v>
      </c>
      <c r="M72" s="552" t="s">
        <v>491</v>
      </c>
    </row>
    <row r="73" spans="1:13" ht="14.25" x14ac:dyDescent="0.2">
      <c r="A73" s="545">
        <v>9577</v>
      </c>
      <c r="B73" s="545">
        <v>1207</v>
      </c>
      <c r="C73" s="551">
        <v>46002</v>
      </c>
      <c r="D73" s="550" t="s">
        <v>473</v>
      </c>
      <c r="E73" s="547">
        <v>0</v>
      </c>
      <c r="F73" s="547">
        <v>856.7</v>
      </c>
      <c r="G73" s="547">
        <v>776</v>
      </c>
      <c r="H73" s="547">
        <v>0</v>
      </c>
      <c r="I73" s="547">
        <v>26.77</v>
      </c>
      <c r="J73" s="547">
        <v>0</v>
      </c>
      <c r="K73" s="547">
        <v>0</v>
      </c>
      <c r="L73" s="548">
        <f t="shared" si="1"/>
        <v>1659.47</v>
      </c>
      <c r="M73" s="552" t="s">
        <v>621</v>
      </c>
    </row>
    <row r="74" spans="1:13" ht="14.25" x14ac:dyDescent="0.2">
      <c r="A74" s="545">
        <v>9578</v>
      </c>
      <c r="B74" s="545">
        <v>1208</v>
      </c>
      <c r="C74" s="718">
        <v>46002</v>
      </c>
      <c r="D74" s="550" t="s">
        <v>283</v>
      </c>
      <c r="E74" s="547">
        <v>0</v>
      </c>
      <c r="F74" s="547">
        <v>3372.5</v>
      </c>
      <c r="G74" s="547">
        <v>0</v>
      </c>
      <c r="H74" s="547">
        <v>0</v>
      </c>
      <c r="I74" s="547">
        <v>0</v>
      </c>
      <c r="J74" s="547">
        <v>0</v>
      </c>
      <c r="K74" s="547">
        <v>0</v>
      </c>
      <c r="L74" s="548">
        <f t="shared" si="1"/>
        <v>3372.5</v>
      </c>
      <c r="M74" s="552" t="s">
        <v>603</v>
      </c>
    </row>
    <row r="75" spans="1:13" ht="14.25" x14ac:dyDescent="0.2">
      <c r="A75" s="545">
        <v>9579</v>
      </c>
      <c r="B75" s="545">
        <v>1209</v>
      </c>
      <c r="C75" s="551">
        <v>46002</v>
      </c>
      <c r="D75" s="550" t="s">
        <v>622</v>
      </c>
      <c r="E75" s="547">
        <v>0</v>
      </c>
      <c r="F75" s="547">
        <v>0</v>
      </c>
      <c r="G75" s="547">
        <v>0</v>
      </c>
      <c r="H75" s="547">
        <v>28837.95</v>
      </c>
      <c r="I75" s="547">
        <v>0</v>
      </c>
      <c r="J75" s="547">
        <v>0</v>
      </c>
      <c r="K75" s="547">
        <v>0</v>
      </c>
      <c r="L75" s="548">
        <f t="shared" si="1"/>
        <v>28837.95</v>
      </c>
      <c r="M75" s="552" t="s">
        <v>259</v>
      </c>
    </row>
    <row r="76" spans="1:13" ht="14.25" x14ac:dyDescent="0.2">
      <c r="A76" s="545">
        <v>9580</v>
      </c>
      <c r="B76" s="545">
        <v>1210</v>
      </c>
      <c r="C76" s="718">
        <v>46002</v>
      </c>
      <c r="D76" s="545" t="s">
        <v>339</v>
      </c>
      <c r="E76" s="547">
        <v>0</v>
      </c>
      <c r="F76" s="547">
        <v>0</v>
      </c>
      <c r="G76" s="547">
        <v>0</v>
      </c>
      <c r="H76" s="547">
        <v>1321.84</v>
      </c>
      <c r="I76" s="547">
        <v>0</v>
      </c>
      <c r="J76" s="547">
        <v>0</v>
      </c>
      <c r="K76" s="547">
        <v>0</v>
      </c>
      <c r="L76" s="548">
        <f t="shared" si="1"/>
        <v>1321.84</v>
      </c>
      <c r="M76" s="549" t="s">
        <v>623</v>
      </c>
    </row>
    <row r="77" spans="1:13" s="597" customFormat="1" ht="14.25" x14ac:dyDescent="0.2">
      <c r="A77" s="545">
        <v>9581</v>
      </c>
      <c r="B77" s="545">
        <v>1211</v>
      </c>
      <c r="C77" s="551">
        <v>46002</v>
      </c>
      <c r="D77" s="550" t="s">
        <v>474</v>
      </c>
      <c r="E77" s="547">
        <v>0</v>
      </c>
      <c r="F77" s="547">
        <v>968.87</v>
      </c>
      <c r="G77" s="547">
        <v>776</v>
      </c>
      <c r="H77" s="547">
        <v>0</v>
      </c>
      <c r="I77" s="547">
        <v>0</v>
      </c>
      <c r="J77" s="547">
        <v>0</v>
      </c>
      <c r="K77" s="547">
        <v>0</v>
      </c>
      <c r="L77" s="548">
        <f t="shared" si="1"/>
        <v>1744.87</v>
      </c>
      <c r="M77" s="552" t="s">
        <v>604</v>
      </c>
    </row>
    <row r="78" spans="1:13" ht="14.25" x14ac:dyDescent="0.2">
      <c r="A78" s="545">
        <v>9582</v>
      </c>
      <c r="B78" s="545">
        <v>1212</v>
      </c>
      <c r="C78" s="551">
        <v>46008</v>
      </c>
      <c r="D78" s="550" t="s">
        <v>285</v>
      </c>
      <c r="E78" s="547">
        <v>9802.76</v>
      </c>
      <c r="F78" s="547">
        <v>0</v>
      </c>
      <c r="G78" s="547">
        <v>0</v>
      </c>
      <c r="H78" s="547">
        <v>0</v>
      </c>
      <c r="I78" s="547">
        <v>0</v>
      </c>
      <c r="J78" s="547">
        <v>0</v>
      </c>
      <c r="K78" s="547">
        <v>0</v>
      </c>
      <c r="L78" s="548">
        <f t="shared" ref="L78:L141" si="2">SUM(E78:K78)</f>
        <v>9802.76</v>
      </c>
      <c r="M78" s="552" t="s">
        <v>624</v>
      </c>
    </row>
    <row r="79" spans="1:13" ht="14.25" x14ac:dyDescent="0.2">
      <c r="A79" s="545">
        <v>9583</v>
      </c>
      <c r="B79" s="545">
        <v>1213</v>
      </c>
      <c r="C79" s="551">
        <v>46008</v>
      </c>
      <c r="D79" s="550" t="s">
        <v>285</v>
      </c>
      <c r="E79" s="547">
        <v>11823.15</v>
      </c>
      <c r="F79" s="547">
        <v>0</v>
      </c>
      <c r="G79" s="547">
        <v>0</v>
      </c>
      <c r="H79" s="547">
        <v>0</v>
      </c>
      <c r="I79" s="547">
        <v>0</v>
      </c>
      <c r="J79" s="547">
        <v>0</v>
      </c>
      <c r="K79" s="547">
        <v>0</v>
      </c>
      <c r="L79" s="548">
        <f t="shared" si="2"/>
        <v>11823.15</v>
      </c>
      <c r="M79" s="552" t="s">
        <v>625</v>
      </c>
    </row>
    <row r="80" spans="1:13" ht="14.25" x14ac:dyDescent="0.2">
      <c r="A80" s="545">
        <v>9584</v>
      </c>
      <c r="B80" s="545">
        <v>1214</v>
      </c>
      <c r="C80" s="551">
        <v>46008</v>
      </c>
      <c r="D80" s="550" t="s">
        <v>484</v>
      </c>
      <c r="E80" s="547">
        <v>1392447.35</v>
      </c>
      <c r="F80" s="547">
        <v>0</v>
      </c>
      <c r="G80" s="547">
        <v>0</v>
      </c>
      <c r="H80" s="547">
        <v>0</v>
      </c>
      <c r="I80" s="547">
        <v>0</v>
      </c>
      <c r="J80" s="547">
        <v>0</v>
      </c>
      <c r="K80" s="547">
        <v>0</v>
      </c>
      <c r="L80" s="548">
        <f t="shared" si="2"/>
        <v>1392447.35</v>
      </c>
      <c r="M80" s="552" t="s">
        <v>485</v>
      </c>
    </row>
    <row r="81" spans="1:13" ht="14.25" x14ac:dyDescent="0.2">
      <c r="A81" s="545">
        <v>9585</v>
      </c>
      <c r="B81" s="545">
        <v>1215</v>
      </c>
      <c r="C81" s="551">
        <v>46008</v>
      </c>
      <c r="D81" s="550" t="s">
        <v>285</v>
      </c>
      <c r="E81" s="547">
        <v>0</v>
      </c>
      <c r="F81" s="547">
        <v>463.68</v>
      </c>
      <c r="G81" s="547">
        <v>0</v>
      </c>
      <c r="H81" s="547">
        <v>0</v>
      </c>
      <c r="I81" s="547">
        <v>0</v>
      </c>
      <c r="J81" s="547">
        <v>0</v>
      </c>
      <c r="K81" s="547">
        <v>0</v>
      </c>
      <c r="L81" s="548">
        <f t="shared" si="2"/>
        <v>463.68</v>
      </c>
      <c r="M81" s="552" t="s">
        <v>626</v>
      </c>
    </row>
    <row r="82" spans="1:13" ht="14.25" x14ac:dyDescent="0.2">
      <c r="A82" s="545">
        <v>9586</v>
      </c>
      <c r="B82" s="545">
        <v>1216</v>
      </c>
      <c r="C82" s="551">
        <v>46008</v>
      </c>
      <c r="D82" s="550" t="s">
        <v>285</v>
      </c>
      <c r="E82" s="547">
        <v>0</v>
      </c>
      <c r="F82" s="547">
        <v>874.37</v>
      </c>
      <c r="G82" s="547">
        <v>0</v>
      </c>
      <c r="H82" s="547">
        <v>0</v>
      </c>
      <c r="I82" s="547">
        <v>0</v>
      </c>
      <c r="J82" s="547">
        <v>0</v>
      </c>
      <c r="K82" s="547">
        <v>0</v>
      </c>
      <c r="L82" s="548">
        <f t="shared" si="2"/>
        <v>874.37</v>
      </c>
      <c r="M82" s="552" t="s">
        <v>627</v>
      </c>
    </row>
    <row r="83" spans="1:13" ht="14.25" x14ac:dyDescent="0.2">
      <c r="A83" s="545">
        <v>9587</v>
      </c>
      <c r="B83" s="545">
        <v>1217</v>
      </c>
      <c r="C83" s="551">
        <v>46008</v>
      </c>
      <c r="D83" s="550" t="s">
        <v>285</v>
      </c>
      <c r="E83" s="547">
        <v>0</v>
      </c>
      <c r="F83" s="547">
        <v>437.18</v>
      </c>
      <c r="G83" s="547">
        <v>0</v>
      </c>
      <c r="H83" s="547">
        <v>0</v>
      </c>
      <c r="I83" s="547">
        <v>0</v>
      </c>
      <c r="J83" s="547">
        <v>0</v>
      </c>
      <c r="K83" s="547">
        <v>0</v>
      </c>
      <c r="L83" s="548">
        <f t="shared" si="2"/>
        <v>437.18</v>
      </c>
      <c r="M83" s="552" t="s">
        <v>628</v>
      </c>
    </row>
    <row r="84" spans="1:13" ht="14.25" x14ac:dyDescent="0.2">
      <c r="A84" s="545">
        <v>9588</v>
      </c>
      <c r="B84" s="545">
        <v>1218</v>
      </c>
      <c r="C84" s="551">
        <v>46008</v>
      </c>
      <c r="D84" s="550" t="s">
        <v>584</v>
      </c>
      <c r="E84" s="547">
        <v>0</v>
      </c>
      <c r="F84" s="547">
        <v>61908</v>
      </c>
      <c r="G84" s="547">
        <v>0</v>
      </c>
      <c r="H84" s="547">
        <v>0</v>
      </c>
      <c r="I84" s="547">
        <v>0</v>
      </c>
      <c r="J84" s="547">
        <v>0</v>
      </c>
      <c r="K84" s="547">
        <v>0</v>
      </c>
      <c r="L84" s="548">
        <f>SUM(E84:K84)</f>
        <v>61908</v>
      </c>
      <c r="M84" s="552" t="s">
        <v>629</v>
      </c>
    </row>
    <row r="85" spans="1:13" ht="14.25" x14ac:dyDescent="0.2">
      <c r="A85" s="545">
        <v>9589</v>
      </c>
      <c r="B85" s="545">
        <v>1219</v>
      </c>
      <c r="C85" s="551">
        <v>46008</v>
      </c>
      <c r="D85" s="550" t="s">
        <v>584</v>
      </c>
      <c r="E85" s="547">
        <v>7927.1</v>
      </c>
      <c r="F85" s="547">
        <v>0</v>
      </c>
      <c r="G85" s="547">
        <v>0</v>
      </c>
      <c r="H85" s="547">
        <v>0</v>
      </c>
      <c r="I85" s="547">
        <v>0</v>
      </c>
      <c r="J85" s="547">
        <v>0</v>
      </c>
      <c r="K85" s="547">
        <v>0</v>
      </c>
      <c r="L85" s="548">
        <f t="shared" si="2"/>
        <v>7927.1</v>
      </c>
      <c r="M85" s="552" t="s">
        <v>629</v>
      </c>
    </row>
    <row r="86" spans="1:13" ht="14.25" x14ac:dyDescent="0.2">
      <c r="A86" s="545">
        <v>9590</v>
      </c>
      <c r="B86" s="545">
        <v>1220</v>
      </c>
      <c r="C86" s="551">
        <v>46008</v>
      </c>
      <c r="D86" s="550" t="s">
        <v>475</v>
      </c>
      <c r="E86" s="547">
        <v>0</v>
      </c>
      <c r="F86" s="547">
        <v>0</v>
      </c>
      <c r="G86" s="547">
        <v>448899.59</v>
      </c>
      <c r="H86" s="547">
        <v>0</v>
      </c>
      <c r="I86" s="547">
        <v>0</v>
      </c>
      <c r="J86" s="547">
        <v>0</v>
      </c>
      <c r="K86" s="547">
        <v>0</v>
      </c>
      <c r="L86" s="548">
        <f t="shared" si="2"/>
        <v>448899.59</v>
      </c>
      <c r="M86" s="552" t="s">
        <v>629</v>
      </c>
    </row>
    <row r="87" spans="1:13" ht="14.25" x14ac:dyDescent="0.2">
      <c r="A87" s="545">
        <v>9591</v>
      </c>
      <c r="B87" s="545">
        <v>1221</v>
      </c>
      <c r="C87" s="551">
        <v>46008</v>
      </c>
      <c r="D87" s="550" t="s">
        <v>475</v>
      </c>
      <c r="E87" s="547">
        <v>0</v>
      </c>
      <c r="F87" s="547">
        <v>0</v>
      </c>
      <c r="G87" s="547">
        <v>0</v>
      </c>
      <c r="H87" s="547">
        <v>0</v>
      </c>
      <c r="I87" s="547">
        <v>3058.11</v>
      </c>
      <c r="J87" s="547">
        <v>0</v>
      </c>
      <c r="K87" s="547">
        <v>0</v>
      </c>
      <c r="L87" s="548">
        <f t="shared" si="2"/>
        <v>3058.11</v>
      </c>
      <c r="M87" s="552" t="s">
        <v>629</v>
      </c>
    </row>
    <row r="88" spans="1:13" ht="14.25" x14ac:dyDescent="0.2">
      <c r="A88" s="545">
        <v>9592</v>
      </c>
      <c r="B88" s="545">
        <v>1222</v>
      </c>
      <c r="C88" s="551">
        <v>46008</v>
      </c>
      <c r="D88" s="550" t="s">
        <v>584</v>
      </c>
      <c r="E88" s="547">
        <v>0</v>
      </c>
      <c r="F88" s="547">
        <v>0</v>
      </c>
      <c r="G88" s="547">
        <v>3880</v>
      </c>
      <c r="H88" s="547">
        <v>0</v>
      </c>
      <c r="I88" s="547">
        <v>0</v>
      </c>
      <c r="J88" s="547">
        <v>0</v>
      </c>
      <c r="K88" s="547">
        <v>0</v>
      </c>
      <c r="L88" s="548">
        <f>SUM(E88:K88)</f>
        <v>3880</v>
      </c>
      <c r="M88" s="552" t="s">
        <v>620</v>
      </c>
    </row>
    <row r="89" spans="1:13" ht="14.25" x14ac:dyDescent="0.2">
      <c r="A89" s="545">
        <v>9593</v>
      </c>
      <c r="B89" s="545">
        <v>1223</v>
      </c>
      <c r="C89" s="551">
        <v>46008</v>
      </c>
      <c r="D89" s="550" t="s">
        <v>584</v>
      </c>
      <c r="E89" s="547">
        <v>3300.14</v>
      </c>
      <c r="F89" s="547">
        <v>0</v>
      </c>
      <c r="G89" s="547">
        <v>0</v>
      </c>
      <c r="H89" s="547">
        <v>0</v>
      </c>
      <c r="I89" s="547">
        <v>0</v>
      </c>
      <c r="J89" s="547">
        <v>0</v>
      </c>
      <c r="K89" s="547">
        <v>0</v>
      </c>
      <c r="L89" s="548">
        <f t="shared" si="2"/>
        <v>3300.14</v>
      </c>
      <c r="M89" s="552" t="s">
        <v>630</v>
      </c>
    </row>
    <row r="90" spans="1:13" ht="14.25" x14ac:dyDescent="0.2">
      <c r="A90" s="545">
        <v>9594</v>
      </c>
      <c r="B90" s="545">
        <v>1224</v>
      </c>
      <c r="C90" s="551">
        <v>46008</v>
      </c>
      <c r="D90" s="550" t="s">
        <v>339</v>
      </c>
      <c r="E90" s="547">
        <v>0</v>
      </c>
      <c r="F90" s="547">
        <v>0</v>
      </c>
      <c r="G90" s="547">
        <v>6431.84</v>
      </c>
      <c r="H90" s="547">
        <v>0</v>
      </c>
      <c r="I90" s="547">
        <v>0</v>
      </c>
      <c r="J90" s="547">
        <v>0</v>
      </c>
      <c r="K90" s="547">
        <v>0</v>
      </c>
      <c r="L90" s="548">
        <f t="shared" si="2"/>
        <v>6431.84</v>
      </c>
      <c r="M90" s="552" t="s">
        <v>630</v>
      </c>
    </row>
    <row r="91" spans="1:13" ht="14.25" x14ac:dyDescent="0.2">
      <c r="A91" s="545">
        <v>9595</v>
      </c>
      <c r="B91" s="545">
        <v>1225</v>
      </c>
      <c r="C91" s="551">
        <v>46008</v>
      </c>
      <c r="D91" s="550" t="s">
        <v>339</v>
      </c>
      <c r="E91" s="547">
        <v>0</v>
      </c>
      <c r="F91" s="547">
        <v>0</v>
      </c>
      <c r="G91" s="547">
        <v>0</v>
      </c>
      <c r="H91" s="547">
        <v>779.56</v>
      </c>
      <c r="I91" s="547">
        <v>0</v>
      </c>
      <c r="J91" s="547">
        <v>0</v>
      </c>
      <c r="K91" s="547">
        <v>0</v>
      </c>
      <c r="L91" s="548">
        <f t="shared" si="2"/>
        <v>779.56</v>
      </c>
      <c r="M91" s="552" t="s">
        <v>631</v>
      </c>
    </row>
    <row r="92" spans="1:13" ht="14.25" x14ac:dyDescent="0.2">
      <c r="A92" s="545">
        <v>9596</v>
      </c>
      <c r="B92" s="545">
        <v>1226</v>
      </c>
      <c r="C92" s="551">
        <v>46008</v>
      </c>
      <c r="D92" s="550" t="s">
        <v>454</v>
      </c>
      <c r="E92" s="547">
        <v>0</v>
      </c>
      <c r="F92" s="547">
        <v>0</v>
      </c>
      <c r="G92" s="547">
        <f>2719.82+776</f>
        <v>3495.82</v>
      </c>
      <c r="H92" s="547">
        <v>0</v>
      </c>
      <c r="I92" s="547">
        <v>26.77</v>
      </c>
      <c r="J92" s="547">
        <v>0</v>
      </c>
      <c r="K92" s="547">
        <v>0</v>
      </c>
      <c r="L92" s="548">
        <f t="shared" si="2"/>
        <v>3522.59</v>
      </c>
      <c r="M92" s="549" t="s">
        <v>632</v>
      </c>
    </row>
    <row r="93" spans="1:13" s="728" customFormat="1" ht="14.25" x14ac:dyDescent="0.2">
      <c r="A93" s="719">
        <v>9597</v>
      </c>
      <c r="B93" s="719">
        <v>1227</v>
      </c>
      <c r="C93" s="725"/>
      <c r="D93" s="726" t="s">
        <v>617</v>
      </c>
      <c r="E93" s="722"/>
      <c r="F93" s="722"/>
      <c r="G93" s="722"/>
      <c r="H93" s="722"/>
      <c r="I93" s="722"/>
      <c r="J93" s="722"/>
      <c r="K93" s="722"/>
      <c r="L93" s="723">
        <f t="shared" si="2"/>
        <v>0</v>
      </c>
      <c r="M93" s="727"/>
    </row>
    <row r="94" spans="1:13" ht="14.25" x14ac:dyDescent="0.2">
      <c r="A94" s="545">
        <v>9598</v>
      </c>
      <c r="B94" s="545">
        <v>24648</v>
      </c>
      <c r="C94" s="551">
        <v>46008</v>
      </c>
      <c r="D94" s="550" t="s">
        <v>584</v>
      </c>
      <c r="E94" s="547">
        <v>0</v>
      </c>
      <c r="F94" s="547">
        <v>37768.300000000003</v>
      </c>
      <c r="G94" s="547">
        <v>0</v>
      </c>
      <c r="H94" s="547">
        <v>0</v>
      </c>
      <c r="I94" s="547">
        <v>0</v>
      </c>
      <c r="J94" s="547">
        <v>0</v>
      </c>
      <c r="K94" s="547">
        <v>0</v>
      </c>
      <c r="L94" s="548">
        <f t="shared" si="2"/>
        <v>37768.300000000003</v>
      </c>
      <c r="M94" s="552" t="s">
        <v>630</v>
      </c>
    </row>
    <row r="95" spans="1:13" ht="14.25" x14ac:dyDescent="0.2">
      <c r="A95" s="545">
        <v>9599</v>
      </c>
      <c r="B95" s="545">
        <v>24649</v>
      </c>
      <c r="C95" s="551">
        <v>46002</v>
      </c>
      <c r="D95" s="550" t="s">
        <v>453</v>
      </c>
      <c r="E95" s="547">
        <v>0</v>
      </c>
      <c r="F95" s="547">
        <v>968.87</v>
      </c>
      <c r="G95" s="547">
        <f>776+776+776</f>
        <v>2328</v>
      </c>
      <c r="H95" s="547">
        <f>41.3+371.7</f>
        <v>413</v>
      </c>
      <c r="I95" s="547">
        <v>0</v>
      </c>
      <c r="J95" s="547">
        <v>0</v>
      </c>
      <c r="K95" s="547">
        <v>0</v>
      </c>
      <c r="L95" s="548">
        <f t="shared" si="2"/>
        <v>3709.87</v>
      </c>
      <c r="M95" s="552" t="s">
        <v>619</v>
      </c>
    </row>
    <row r="96" spans="1:13" ht="14.25" x14ac:dyDescent="0.2">
      <c r="A96" s="545">
        <v>9600</v>
      </c>
      <c r="B96" s="545">
        <v>24650</v>
      </c>
      <c r="C96" s="551">
        <v>46009</v>
      </c>
      <c r="D96" s="550" t="s">
        <v>473</v>
      </c>
      <c r="E96" s="547">
        <v>0</v>
      </c>
      <c r="F96" s="547">
        <v>0</v>
      </c>
      <c r="G96" s="547">
        <v>776</v>
      </c>
      <c r="H96" s="547">
        <v>0</v>
      </c>
      <c r="I96" s="547">
        <v>0</v>
      </c>
      <c r="J96" s="547">
        <v>0</v>
      </c>
      <c r="K96" s="547">
        <v>0</v>
      </c>
      <c r="L96" s="548">
        <f t="shared" si="2"/>
        <v>776</v>
      </c>
      <c r="M96" s="552" t="s">
        <v>633</v>
      </c>
    </row>
    <row r="97" spans="1:13" ht="14.25" x14ac:dyDescent="0.2">
      <c r="A97" s="545">
        <v>9601</v>
      </c>
      <c r="B97" s="545">
        <v>24651</v>
      </c>
      <c r="C97" s="551">
        <v>46002</v>
      </c>
      <c r="D97" s="550" t="s">
        <v>454</v>
      </c>
      <c r="E97" s="547">
        <v>0</v>
      </c>
      <c r="F97" s="547">
        <v>870.84</v>
      </c>
      <c r="G97" s="547">
        <f>776+776</f>
        <v>1552</v>
      </c>
      <c r="H97" s="547">
        <v>0</v>
      </c>
      <c r="I97" s="547">
        <f>53.54+26.77</f>
        <v>80.31</v>
      </c>
      <c r="J97" s="547">
        <v>0</v>
      </c>
      <c r="K97" s="547">
        <v>0</v>
      </c>
      <c r="L97" s="548">
        <f t="shared" si="2"/>
        <v>2503.15</v>
      </c>
      <c r="M97" s="552" t="s">
        <v>634</v>
      </c>
    </row>
    <row r="98" spans="1:13" ht="14.25" x14ac:dyDescent="0.2">
      <c r="A98" s="545">
        <v>9602</v>
      </c>
      <c r="B98" s="545">
        <v>1228</v>
      </c>
      <c r="C98" s="551">
        <v>46009</v>
      </c>
      <c r="D98" s="550" t="s">
        <v>339</v>
      </c>
      <c r="E98" s="547">
        <v>0</v>
      </c>
      <c r="F98" s="547">
        <v>0</v>
      </c>
      <c r="G98" s="547">
        <v>0</v>
      </c>
      <c r="H98" s="547">
        <v>247.8</v>
      </c>
      <c r="I98" s="547">
        <v>0</v>
      </c>
      <c r="J98" s="547">
        <v>0</v>
      </c>
      <c r="K98" s="547">
        <v>0</v>
      </c>
      <c r="L98" s="548">
        <f t="shared" si="2"/>
        <v>247.8</v>
      </c>
      <c r="M98" s="552" t="s">
        <v>635</v>
      </c>
    </row>
    <row r="99" spans="1:13" ht="14.25" x14ac:dyDescent="0.2">
      <c r="A99" s="545">
        <v>9603</v>
      </c>
      <c r="B99" s="545">
        <v>1229</v>
      </c>
      <c r="C99" s="551">
        <v>46009</v>
      </c>
      <c r="D99" s="550" t="s">
        <v>475</v>
      </c>
      <c r="E99" s="547">
        <v>0</v>
      </c>
      <c r="F99" s="547">
        <v>0</v>
      </c>
      <c r="G99" s="547">
        <v>0</v>
      </c>
      <c r="H99" s="547">
        <v>206.5</v>
      </c>
      <c r="I99" s="547">
        <v>0</v>
      </c>
      <c r="J99" s="547">
        <v>0</v>
      </c>
      <c r="K99" s="547">
        <v>0</v>
      </c>
      <c r="L99" s="548">
        <f t="shared" si="2"/>
        <v>206.5</v>
      </c>
      <c r="M99" s="552" t="s">
        <v>636</v>
      </c>
    </row>
    <row r="100" spans="1:13" ht="14.25" x14ac:dyDescent="0.2">
      <c r="A100" s="545">
        <v>9604</v>
      </c>
      <c r="B100" s="545">
        <v>1230</v>
      </c>
      <c r="C100" s="551">
        <v>46009</v>
      </c>
      <c r="D100" s="553" t="s">
        <v>453</v>
      </c>
      <c r="E100" s="547">
        <v>0</v>
      </c>
      <c r="F100" s="547">
        <v>968.87</v>
      </c>
      <c r="G100" s="547">
        <f>776+776</f>
        <v>1552</v>
      </c>
      <c r="H100" s="547">
        <v>289.10000000000002</v>
      </c>
      <c r="I100" s="547">
        <v>0</v>
      </c>
      <c r="J100" s="547">
        <v>0</v>
      </c>
      <c r="K100" s="547">
        <v>0</v>
      </c>
      <c r="L100" s="548">
        <f t="shared" si="2"/>
        <v>2809.97</v>
      </c>
      <c r="M100" s="554" t="s">
        <v>371</v>
      </c>
    </row>
    <row r="101" spans="1:13" ht="14.25" x14ac:dyDescent="0.2">
      <c r="A101" s="545">
        <v>9605</v>
      </c>
      <c r="B101" s="545">
        <v>1231</v>
      </c>
      <c r="C101" s="551">
        <v>46009</v>
      </c>
      <c r="D101" s="550" t="s">
        <v>453</v>
      </c>
      <c r="E101" s="547">
        <v>0</v>
      </c>
      <c r="F101" s="547">
        <v>0</v>
      </c>
      <c r="G101" s="547">
        <f>776+776+776+776</f>
        <v>3104</v>
      </c>
      <c r="H101" s="547">
        <f>165.2+289.1+3323.6</f>
        <v>3777.9</v>
      </c>
      <c r="I101" s="547">
        <v>0</v>
      </c>
      <c r="J101" s="547">
        <v>0</v>
      </c>
      <c r="K101" s="547">
        <v>0</v>
      </c>
      <c r="L101" s="548">
        <f t="shared" si="2"/>
        <v>6881.9</v>
      </c>
      <c r="M101" s="554" t="s">
        <v>637</v>
      </c>
    </row>
    <row r="102" spans="1:13" ht="14.25" x14ac:dyDescent="0.2">
      <c r="A102" s="545">
        <v>9606</v>
      </c>
      <c r="B102" s="545">
        <v>1232</v>
      </c>
      <c r="C102" s="551">
        <v>46009</v>
      </c>
      <c r="D102" s="550" t="s">
        <v>453</v>
      </c>
      <c r="E102" s="547">
        <v>0</v>
      </c>
      <c r="F102" s="547">
        <f>870.84+662.4</f>
        <v>1533.24</v>
      </c>
      <c r="G102" s="547">
        <f>776+776</f>
        <v>1552</v>
      </c>
      <c r="H102" s="547">
        <v>0</v>
      </c>
      <c r="I102" s="547">
        <v>26.77</v>
      </c>
      <c r="J102" s="547">
        <v>0</v>
      </c>
      <c r="K102" s="547">
        <v>0</v>
      </c>
      <c r="L102" s="548">
        <f t="shared" si="2"/>
        <v>3112.0099999999998</v>
      </c>
      <c r="M102" s="552" t="s">
        <v>480</v>
      </c>
    </row>
    <row r="103" spans="1:13" ht="14.25" x14ac:dyDescent="0.2">
      <c r="A103" s="545">
        <v>9607</v>
      </c>
      <c r="B103" s="545">
        <v>1233</v>
      </c>
      <c r="C103" s="551">
        <v>46009</v>
      </c>
      <c r="D103" s="550" t="s">
        <v>453</v>
      </c>
      <c r="E103" s="547">
        <v>0</v>
      </c>
      <c r="F103" s="547">
        <v>0</v>
      </c>
      <c r="G103" s="547">
        <v>0</v>
      </c>
      <c r="H103" s="547">
        <f>330.4+3038.72</f>
        <v>3369.12</v>
      </c>
      <c r="I103" s="547">
        <v>0</v>
      </c>
      <c r="J103" s="547">
        <v>0</v>
      </c>
      <c r="K103" s="547">
        <v>0</v>
      </c>
      <c r="L103" s="548">
        <f t="shared" si="2"/>
        <v>3369.12</v>
      </c>
      <c r="M103" s="552" t="s">
        <v>638</v>
      </c>
    </row>
    <row r="104" spans="1:13" ht="14.25" x14ac:dyDescent="0.2">
      <c r="A104" s="545">
        <v>9608</v>
      </c>
      <c r="B104" s="545">
        <v>1234</v>
      </c>
      <c r="C104" s="551">
        <v>46009</v>
      </c>
      <c r="D104" s="550" t="s">
        <v>578</v>
      </c>
      <c r="E104" s="547">
        <v>0</v>
      </c>
      <c r="F104" s="547">
        <f>474.72+465+762.64+762.65</f>
        <v>2465.0100000000002</v>
      </c>
      <c r="G104" s="547">
        <f>776+776+776</f>
        <v>2328</v>
      </c>
      <c r="H104" s="547">
        <v>0</v>
      </c>
      <c r="I104" s="547">
        <v>0</v>
      </c>
      <c r="J104" s="547">
        <v>0</v>
      </c>
      <c r="K104" s="547">
        <v>0</v>
      </c>
      <c r="L104" s="548">
        <f t="shared" si="2"/>
        <v>4793.01</v>
      </c>
      <c r="M104" s="552" t="s">
        <v>476</v>
      </c>
    </row>
    <row r="105" spans="1:13" s="597" customFormat="1" ht="14.25" x14ac:dyDescent="0.2">
      <c r="A105" s="545">
        <v>9609</v>
      </c>
      <c r="B105" s="545">
        <v>1235</v>
      </c>
      <c r="C105" s="551">
        <v>46009</v>
      </c>
      <c r="D105" s="550" t="s">
        <v>453</v>
      </c>
      <c r="E105" s="547">
        <v>0</v>
      </c>
      <c r="F105" s="547">
        <v>437.18</v>
      </c>
      <c r="G105" s="547">
        <v>0</v>
      </c>
      <c r="H105" s="547">
        <v>0</v>
      </c>
      <c r="I105" s="547">
        <v>0</v>
      </c>
      <c r="J105" s="547">
        <v>0</v>
      </c>
      <c r="K105" s="547">
        <v>0</v>
      </c>
      <c r="L105" s="548">
        <f t="shared" si="2"/>
        <v>437.18</v>
      </c>
      <c r="M105" s="552" t="s">
        <v>596</v>
      </c>
    </row>
    <row r="106" spans="1:13" ht="14.25" x14ac:dyDescent="0.2">
      <c r="A106" s="545">
        <v>9610</v>
      </c>
      <c r="B106" s="545">
        <v>1236</v>
      </c>
      <c r="C106" s="551">
        <v>46009</v>
      </c>
      <c r="D106" s="550" t="s">
        <v>477</v>
      </c>
      <c r="E106" s="547">
        <v>0</v>
      </c>
      <c r="F106" s="547">
        <v>762.64</v>
      </c>
      <c r="G106" s="547">
        <f>776+776</f>
        <v>1552</v>
      </c>
      <c r="H106" s="547">
        <v>0</v>
      </c>
      <c r="I106" s="547">
        <v>0</v>
      </c>
      <c r="J106" s="547">
        <v>0</v>
      </c>
      <c r="K106" s="547">
        <v>0</v>
      </c>
      <c r="L106" s="548">
        <f>SUM(E106:K106)</f>
        <v>2314.64</v>
      </c>
      <c r="M106" s="552" t="s">
        <v>478</v>
      </c>
    </row>
    <row r="107" spans="1:13" ht="14.25" x14ac:dyDescent="0.2">
      <c r="A107" s="545">
        <v>9611</v>
      </c>
      <c r="B107" s="545">
        <v>1237</v>
      </c>
      <c r="C107" s="551">
        <v>46009</v>
      </c>
      <c r="D107" s="550" t="s">
        <v>473</v>
      </c>
      <c r="E107" s="547">
        <v>0</v>
      </c>
      <c r="F107" s="547">
        <v>968.87</v>
      </c>
      <c r="G107" s="547">
        <f>776+776</f>
        <v>1552</v>
      </c>
      <c r="H107" s="547">
        <v>123.9</v>
      </c>
      <c r="I107" s="547">
        <v>0</v>
      </c>
      <c r="J107" s="547">
        <v>0</v>
      </c>
      <c r="K107" s="547">
        <v>0</v>
      </c>
      <c r="L107" s="548">
        <f>SUM(E107:K107)</f>
        <v>2644.77</v>
      </c>
      <c r="M107" s="552" t="s">
        <v>639</v>
      </c>
    </row>
    <row r="108" spans="1:13" ht="14.25" x14ac:dyDescent="0.2">
      <c r="A108" s="545">
        <v>9612</v>
      </c>
      <c r="B108" s="545">
        <v>1238</v>
      </c>
      <c r="C108" s="551">
        <v>46009</v>
      </c>
      <c r="D108" s="550" t="s">
        <v>454</v>
      </c>
      <c r="E108" s="547">
        <v>0</v>
      </c>
      <c r="F108" s="547">
        <v>870.84</v>
      </c>
      <c r="G108" s="547">
        <v>776</v>
      </c>
      <c r="H108" s="547">
        <v>0</v>
      </c>
      <c r="I108" s="547">
        <v>26.77</v>
      </c>
      <c r="J108" s="547">
        <v>0</v>
      </c>
      <c r="K108" s="547">
        <v>0</v>
      </c>
      <c r="L108" s="548">
        <f>SUM(E108:K108)</f>
        <v>1673.6100000000001</v>
      </c>
      <c r="M108" s="552" t="s">
        <v>620</v>
      </c>
    </row>
    <row r="109" spans="1:13" ht="14.25" x14ac:dyDescent="0.2">
      <c r="A109" s="545">
        <v>9613</v>
      </c>
      <c r="B109" s="545">
        <v>1239</v>
      </c>
      <c r="C109" s="551">
        <v>46009</v>
      </c>
      <c r="D109" s="550" t="s">
        <v>474</v>
      </c>
      <c r="E109" s="547">
        <v>0</v>
      </c>
      <c r="F109" s="547">
        <v>968.87</v>
      </c>
      <c r="G109" s="547">
        <v>776</v>
      </c>
      <c r="H109" s="547">
        <v>0</v>
      </c>
      <c r="I109" s="547">
        <v>0</v>
      </c>
      <c r="J109" s="547">
        <v>0</v>
      </c>
      <c r="K109" s="547">
        <v>0</v>
      </c>
      <c r="L109" s="548">
        <f t="shared" si="2"/>
        <v>1744.87</v>
      </c>
      <c r="M109" s="552" t="s">
        <v>640</v>
      </c>
    </row>
    <row r="110" spans="1:13" ht="14.25" x14ac:dyDescent="0.2">
      <c r="A110" s="545">
        <v>9614</v>
      </c>
      <c r="B110" s="545">
        <v>1240</v>
      </c>
      <c r="C110" s="551">
        <v>46009</v>
      </c>
      <c r="D110" s="550" t="s">
        <v>609</v>
      </c>
      <c r="E110" s="547">
        <v>0</v>
      </c>
      <c r="F110" s="547">
        <v>816.96</v>
      </c>
      <c r="G110" s="547">
        <v>776</v>
      </c>
      <c r="H110" s="547">
        <v>0</v>
      </c>
      <c r="I110" s="547">
        <v>0</v>
      </c>
      <c r="J110" s="547">
        <v>0</v>
      </c>
      <c r="K110" s="547">
        <v>0</v>
      </c>
      <c r="L110" s="548">
        <f t="shared" si="2"/>
        <v>1592.96</v>
      </c>
      <c r="M110" s="552" t="s">
        <v>641</v>
      </c>
    </row>
    <row r="111" spans="1:13" ht="14.25" x14ac:dyDescent="0.2">
      <c r="A111" s="545">
        <v>9615</v>
      </c>
      <c r="B111" s="545">
        <v>1241</v>
      </c>
      <c r="C111" s="551">
        <v>46009</v>
      </c>
      <c r="D111" s="550" t="s">
        <v>474</v>
      </c>
      <c r="E111" s="547">
        <v>0</v>
      </c>
      <c r="F111" s="547">
        <v>968.87</v>
      </c>
      <c r="G111" s="547">
        <v>776</v>
      </c>
      <c r="H111" s="547">
        <v>0</v>
      </c>
      <c r="I111" s="547">
        <v>0</v>
      </c>
      <c r="J111" s="547">
        <v>0</v>
      </c>
      <c r="K111" s="547">
        <v>0</v>
      </c>
      <c r="L111" s="548">
        <f t="shared" si="2"/>
        <v>1744.87</v>
      </c>
      <c r="M111" s="552" t="s">
        <v>642</v>
      </c>
    </row>
    <row r="112" spans="1:13" ht="14.25" x14ac:dyDescent="0.2">
      <c r="A112" s="545">
        <v>9616</v>
      </c>
      <c r="B112" s="545">
        <v>1242</v>
      </c>
      <c r="C112" s="551">
        <v>46009</v>
      </c>
      <c r="D112" s="592" t="s">
        <v>473</v>
      </c>
      <c r="E112" s="547">
        <v>0</v>
      </c>
      <c r="F112" s="547">
        <v>874.81</v>
      </c>
      <c r="G112" s="547">
        <f>776+776+776</f>
        <v>2328</v>
      </c>
      <c r="H112" s="547">
        <f>702.1+2280.72+991.2</f>
        <v>3974.0199999999995</v>
      </c>
      <c r="I112" s="547">
        <v>0</v>
      </c>
      <c r="J112" s="547">
        <v>0</v>
      </c>
      <c r="K112" s="547">
        <v>0</v>
      </c>
      <c r="L112" s="548">
        <f t="shared" si="2"/>
        <v>7176.83</v>
      </c>
      <c r="M112" s="552" t="s">
        <v>455</v>
      </c>
    </row>
    <row r="113" spans="1:13" s="597" customFormat="1" ht="14.25" x14ac:dyDescent="0.2">
      <c r="A113" s="545">
        <v>9617</v>
      </c>
      <c r="B113" s="545">
        <v>1243</v>
      </c>
      <c r="C113" s="551">
        <v>46009</v>
      </c>
      <c r="D113" s="550" t="s">
        <v>473</v>
      </c>
      <c r="E113" s="547">
        <v>0</v>
      </c>
      <c r="F113" s="547">
        <v>968.87</v>
      </c>
      <c r="G113" s="547">
        <f>776+776</f>
        <v>1552</v>
      </c>
      <c r="H113" s="547">
        <v>660.8</v>
      </c>
      <c r="I113" s="547">
        <v>0</v>
      </c>
      <c r="J113" s="547">
        <v>0</v>
      </c>
      <c r="K113" s="547">
        <v>0</v>
      </c>
      <c r="L113" s="548">
        <f t="shared" si="2"/>
        <v>3181.67</v>
      </c>
      <c r="M113" s="552" t="s">
        <v>642</v>
      </c>
    </row>
    <row r="114" spans="1:13" ht="14.25" x14ac:dyDescent="0.2">
      <c r="A114" s="545">
        <v>9618</v>
      </c>
      <c r="B114" s="545">
        <v>1244</v>
      </c>
      <c r="C114" s="551">
        <v>46009</v>
      </c>
      <c r="D114" s="550" t="s">
        <v>454</v>
      </c>
      <c r="E114" s="547">
        <v>0</v>
      </c>
      <c r="F114" s="547">
        <v>1015.97</v>
      </c>
      <c r="G114" s="547">
        <f>776+776</f>
        <v>1552</v>
      </c>
      <c r="H114" s="547">
        <v>0</v>
      </c>
      <c r="I114" s="547">
        <v>26.77</v>
      </c>
      <c r="J114" s="547">
        <v>0</v>
      </c>
      <c r="K114" s="547">
        <v>0</v>
      </c>
      <c r="L114" s="548">
        <f t="shared" si="2"/>
        <v>2594.7400000000002</v>
      </c>
      <c r="M114" s="552" t="s">
        <v>643</v>
      </c>
    </row>
    <row r="115" spans="1:13" ht="14.25" x14ac:dyDescent="0.2">
      <c r="A115" s="545">
        <v>9619</v>
      </c>
      <c r="B115" s="545">
        <v>1245</v>
      </c>
      <c r="C115" s="551">
        <v>46009</v>
      </c>
      <c r="D115" s="550" t="s">
        <v>473</v>
      </c>
      <c r="E115" s="547">
        <v>0</v>
      </c>
      <c r="F115" s="547">
        <v>968.87</v>
      </c>
      <c r="G115" s="547">
        <v>776</v>
      </c>
      <c r="H115" s="547">
        <v>0</v>
      </c>
      <c r="I115" s="547">
        <v>0</v>
      </c>
      <c r="J115" s="547">
        <v>0</v>
      </c>
      <c r="K115" s="547">
        <v>0</v>
      </c>
      <c r="L115" s="548">
        <f t="shared" si="2"/>
        <v>1744.87</v>
      </c>
      <c r="M115" s="552" t="s">
        <v>481</v>
      </c>
    </row>
    <row r="116" spans="1:13" ht="14.25" x14ac:dyDescent="0.2">
      <c r="A116" s="545">
        <v>9620</v>
      </c>
      <c r="B116" s="545">
        <v>1246</v>
      </c>
      <c r="C116" s="551">
        <v>46010</v>
      </c>
      <c r="D116" s="550" t="s">
        <v>582</v>
      </c>
      <c r="E116" s="547">
        <v>0</v>
      </c>
      <c r="F116" s="547">
        <v>0</v>
      </c>
      <c r="G116" s="547">
        <v>0</v>
      </c>
      <c r="H116" s="547">
        <v>13721.29</v>
      </c>
      <c r="I116" s="547">
        <v>0</v>
      </c>
      <c r="J116" s="547">
        <v>0</v>
      </c>
      <c r="K116" s="547">
        <v>0</v>
      </c>
      <c r="L116" s="548">
        <f t="shared" si="2"/>
        <v>13721.29</v>
      </c>
      <c r="M116" s="552" t="s">
        <v>644</v>
      </c>
    </row>
    <row r="117" spans="1:13" ht="14.25" x14ac:dyDescent="0.2">
      <c r="A117" s="545">
        <v>9621</v>
      </c>
      <c r="B117" s="545">
        <v>1247</v>
      </c>
      <c r="C117" s="551">
        <v>46010</v>
      </c>
      <c r="D117" s="550" t="s">
        <v>475</v>
      </c>
      <c r="E117" s="547">
        <v>0</v>
      </c>
      <c r="F117" s="547">
        <v>0</v>
      </c>
      <c r="G117" s="547">
        <v>0</v>
      </c>
      <c r="H117" s="547">
        <v>55861.66</v>
      </c>
      <c r="I117" s="547">
        <v>0</v>
      </c>
      <c r="J117" s="547">
        <v>0</v>
      </c>
      <c r="K117" s="547">
        <v>0</v>
      </c>
      <c r="L117" s="548">
        <f t="shared" si="2"/>
        <v>55861.66</v>
      </c>
      <c r="M117" s="552" t="s">
        <v>645</v>
      </c>
    </row>
    <row r="118" spans="1:13" ht="14.25" x14ac:dyDescent="0.2">
      <c r="A118" s="545">
        <v>9622</v>
      </c>
      <c r="B118" s="545">
        <v>1248</v>
      </c>
      <c r="C118" s="551">
        <v>46010</v>
      </c>
      <c r="D118" s="550" t="s">
        <v>475</v>
      </c>
      <c r="E118" s="547">
        <v>0</v>
      </c>
      <c r="F118" s="547">
        <v>0</v>
      </c>
      <c r="G118" s="547">
        <v>0</v>
      </c>
      <c r="H118" s="547">
        <v>836.69</v>
      </c>
      <c r="I118" s="547">
        <v>0</v>
      </c>
      <c r="J118" s="547">
        <v>0</v>
      </c>
      <c r="K118" s="547">
        <v>0</v>
      </c>
      <c r="L118" s="548">
        <f t="shared" si="2"/>
        <v>836.69</v>
      </c>
      <c r="M118" s="552" t="s">
        <v>646</v>
      </c>
    </row>
    <row r="119" spans="1:13" ht="14.25" x14ac:dyDescent="0.2">
      <c r="A119" s="545">
        <v>9623</v>
      </c>
      <c r="B119" s="545">
        <v>1249</v>
      </c>
      <c r="C119" s="551">
        <v>46010</v>
      </c>
      <c r="D119" s="550" t="s">
        <v>582</v>
      </c>
      <c r="E119" s="547">
        <v>0</v>
      </c>
      <c r="F119" s="547">
        <v>0</v>
      </c>
      <c r="G119" s="547">
        <v>0</v>
      </c>
      <c r="H119" s="547">
        <v>6113.14</v>
      </c>
      <c r="I119" s="547">
        <v>0</v>
      </c>
      <c r="J119" s="547">
        <v>0</v>
      </c>
      <c r="K119" s="547">
        <v>0</v>
      </c>
      <c r="L119" s="548">
        <f t="shared" si="2"/>
        <v>6113.14</v>
      </c>
      <c r="M119" s="552" t="s">
        <v>21</v>
      </c>
    </row>
    <row r="120" spans="1:13" ht="14.25" x14ac:dyDescent="0.2">
      <c r="A120" s="545">
        <v>9624</v>
      </c>
      <c r="B120" s="545">
        <v>1250</v>
      </c>
      <c r="C120" s="551">
        <v>46010</v>
      </c>
      <c r="D120" s="550" t="s">
        <v>582</v>
      </c>
      <c r="E120" s="547">
        <v>0</v>
      </c>
      <c r="F120" s="547">
        <v>0</v>
      </c>
      <c r="G120" s="547">
        <v>0</v>
      </c>
      <c r="H120" s="547">
        <v>55.6</v>
      </c>
      <c r="I120" s="547">
        <v>0</v>
      </c>
      <c r="J120" s="547">
        <v>0</v>
      </c>
      <c r="K120" s="547">
        <v>0</v>
      </c>
      <c r="L120" s="548">
        <f t="shared" si="2"/>
        <v>55.6</v>
      </c>
      <c r="M120" s="552" t="s">
        <v>21</v>
      </c>
    </row>
    <row r="121" spans="1:13" ht="14.25" x14ac:dyDescent="0.2">
      <c r="A121" s="545">
        <v>9625</v>
      </c>
      <c r="B121" s="545">
        <v>1251</v>
      </c>
      <c r="C121" s="551">
        <v>46010</v>
      </c>
      <c r="D121" s="545" t="s">
        <v>582</v>
      </c>
      <c r="E121" s="547">
        <v>0</v>
      </c>
      <c r="F121" s="547">
        <v>0</v>
      </c>
      <c r="G121" s="547">
        <v>0</v>
      </c>
      <c r="H121" s="547">
        <v>34237.879999999997</v>
      </c>
      <c r="I121" s="547">
        <v>0</v>
      </c>
      <c r="J121" s="547">
        <v>0</v>
      </c>
      <c r="K121" s="547">
        <v>0</v>
      </c>
      <c r="L121" s="548">
        <f t="shared" si="2"/>
        <v>34237.879999999997</v>
      </c>
      <c r="M121" s="549" t="s">
        <v>21</v>
      </c>
    </row>
    <row r="122" spans="1:13" ht="14.25" x14ac:dyDescent="0.2">
      <c r="A122" s="545">
        <v>9626</v>
      </c>
      <c r="B122" s="545">
        <v>1252</v>
      </c>
      <c r="C122" s="551">
        <v>46010</v>
      </c>
      <c r="D122" s="550" t="s">
        <v>582</v>
      </c>
      <c r="E122" s="547">
        <v>0</v>
      </c>
      <c r="F122" s="547">
        <v>0</v>
      </c>
      <c r="G122" s="547">
        <v>0</v>
      </c>
      <c r="H122" s="547">
        <v>17041.36</v>
      </c>
      <c r="I122" s="547">
        <v>0</v>
      </c>
      <c r="J122" s="547">
        <v>0</v>
      </c>
      <c r="K122" s="547">
        <v>0</v>
      </c>
      <c r="L122" s="548">
        <f t="shared" si="2"/>
        <v>17041.36</v>
      </c>
      <c r="M122" s="552" t="s">
        <v>21</v>
      </c>
    </row>
    <row r="123" spans="1:13" ht="14.25" x14ac:dyDescent="0.2">
      <c r="A123" s="545">
        <v>9627</v>
      </c>
      <c r="B123" s="545">
        <v>1253</v>
      </c>
      <c r="C123" s="551">
        <v>46010</v>
      </c>
      <c r="D123" s="550" t="s">
        <v>582</v>
      </c>
      <c r="E123" s="547">
        <v>0</v>
      </c>
      <c r="F123" s="547">
        <v>0</v>
      </c>
      <c r="G123" s="547">
        <v>0</v>
      </c>
      <c r="H123" s="547">
        <v>55982.61</v>
      </c>
      <c r="I123" s="547">
        <v>0</v>
      </c>
      <c r="J123" s="547">
        <v>0</v>
      </c>
      <c r="K123" s="547">
        <v>0</v>
      </c>
      <c r="L123" s="548">
        <f t="shared" si="2"/>
        <v>55982.61</v>
      </c>
      <c r="M123" s="552" t="s">
        <v>21</v>
      </c>
    </row>
    <row r="124" spans="1:13" ht="14.25" x14ac:dyDescent="0.2">
      <c r="A124" s="545">
        <v>9628</v>
      </c>
      <c r="B124" s="545">
        <v>1254</v>
      </c>
      <c r="C124" s="551">
        <v>46010</v>
      </c>
      <c r="D124" s="550" t="s">
        <v>582</v>
      </c>
      <c r="E124" s="547">
        <v>0</v>
      </c>
      <c r="F124" s="547">
        <v>0</v>
      </c>
      <c r="G124" s="547">
        <v>0</v>
      </c>
      <c r="H124" s="547">
        <v>7688.6</v>
      </c>
      <c r="I124" s="547">
        <v>0</v>
      </c>
      <c r="J124" s="547">
        <v>0</v>
      </c>
      <c r="K124" s="547">
        <v>0</v>
      </c>
      <c r="L124" s="548">
        <f t="shared" si="2"/>
        <v>7688.6</v>
      </c>
      <c r="M124" s="552" t="s">
        <v>21</v>
      </c>
    </row>
    <row r="125" spans="1:13" ht="14.25" x14ac:dyDescent="0.2">
      <c r="A125" s="545">
        <v>9629</v>
      </c>
      <c r="B125" s="545">
        <v>1255</v>
      </c>
      <c r="C125" s="551">
        <v>46010</v>
      </c>
      <c r="D125" s="550" t="s">
        <v>582</v>
      </c>
      <c r="E125" s="547">
        <v>0</v>
      </c>
      <c r="F125" s="547">
        <v>0</v>
      </c>
      <c r="G125" s="547">
        <v>0</v>
      </c>
      <c r="H125" s="547">
        <v>3609.93</v>
      </c>
      <c r="I125" s="547">
        <v>0</v>
      </c>
      <c r="J125" s="547">
        <v>0</v>
      </c>
      <c r="K125" s="547">
        <v>0</v>
      </c>
      <c r="L125" s="548">
        <f t="shared" si="2"/>
        <v>3609.93</v>
      </c>
      <c r="M125" s="552" t="s">
        <v>21</v>
      </c>
    </row>
    <row r="126" spans="1:13" ht="14.25" x14ac:dyDescent="0.2">
      <c r="A126" s="545">
        <v>9630</v>
      </c>
      <c r="B126" s="545">
        <v>1256</v>
      </c>
      <c r="C126" s="551">
        <v>46010</v>
      </c>
      <c r="D126" s="550" t="s">
        <v>582</v>
      </c>
      <c r="E126" s="547">
        <v>0</v>
      </c>
      <c r="F126" s="547">
        <v>0</v>
      </c>
      <c r="G126" s="547">
        <v>0</v>
      </c>
      <c r="H126" s="547">
        <v>9887.3799999999992</v>
      </c>
      <c r="I126" s="547">
        <v>0</v>
      </c>
      <c r="J126" s="547">
        <v>0</v>
      </c>
      <c r="K126" s="547">
        <v>0</v>
      </c>
      <c r="L126" s="548">
        <f>SUM(E126:K126)</f>
        <v>9887.3799999999992</v>
      </c>
      <c r="M126" s="552" t="s">
        <v>21</v>
      </c>
    </row>
    <row r="127" spans="1:13" ht="14.25" x14ac:dyDescent="0.2">
      <c r="A127" s="545">
        <v>9631</v>
      </c>
      <c r="B127" s="545">
        <v>1257</v>
      </c>
      <c r="C127" s="551">
        <v>46010</v>
      </c>
      <c r="D127" s="550" t="s">
        <v>582</v>
      </c>
      <c r="E127" s="547">
        <v>0</v>
      </c>
      <c r="F127" s="547">
        <v>0</v>
      </c>
      <c r="G127" s="547">
        <v>0</v>
      </c>
      <c r="H127" s="547">
        <v>51.75</v>
      </c>
      <c r="I127" s="547">
        <v>0</v>
      </c>
      <c r="J127" s="547">
        <v>0</v>
      </c>
      <c r="K127" s="547">
        <v>0</v>
      </c>
      <c r="L127" s="548">
        <f t="shared" si="2"/>
        <v>51.75</v>
      </c>
      <c r="M127" s="552" t="s">
        <v>21</v>
      </c>
    </row>
    <row r="128" spans="1:13" ht="14.25" x14ac:dyDescent="0.2">
      <c r="A128" s="545">
        <v>9632</v>
      </c>
      <c r="B128" s="545">
        <v>1258</v>
      </c>
      <c r="C128" s="551">
        <v>46010</v>
      </c>
      <c r="D128" s="550" t="s">
        <v>582</v>
      </c>
      <c r="E128" s="547">
        <v>0</v>
      </c>
      <c r="F128" s="547">
        <v>0</v>
      </c>
      <c r="G128" s="547">
        <v>0</v>
      </c>
      <c r="H128" s="547">
        <v>84.29</v>
      </c>
      <c r="I128" s="547">
        <v>0</v>
      </c>
      <c r="J128" s="547">
        <v>0</v>
      </c>
      <c r="K128" s="547">
        <v>0</v>
      </c>
      <c r="L128" s="548">
        <f t="shared" si="2"/>
        <v>84.29</v>
      </c>
      <c r="M128" s="552" t="s">
        <v>21</v>
      </c>
    </row>
    <row r="129" spans="1:13" ht="14.25" x14ac:dyDescent="0.2">
      <c r="A129" s="545">
        <v>9633</v>
      </c>
      <c r="B129" s="545">
        <v>1259</v>
      </c>
      <c r="C129" s="551">
        <v>46010</v>
      </c>
      <c r="D129" s="550" t="s">
        <v>582</v>
      </c>
      <c r="E129" s="547">
        <v>0</v>
      </c>
      <c r="F129" s="547">
        <v>0</v>
      </c>
      <c r="G129" s="547">
        <v>0</v>
      </c>
      <c r="H129" s="547">
        <v>3954.25</v>
      </c>
      <c r="I129" s="547">
        <v>0</v>
      </c>
      <c r="J129" s="547">
        <v>0</v>
      </c>
      <c r="K129" s="547">
        <v>0</v>
      </c>
      <c r="L129" s="548">
        <f t="shared" si="2"/>
        <v>3954.25</v>
      </c>
      <c r="M129" s="552" t="s">
        <v>647</v>
      </c>
    </row>
    <row r="130" spans="1:13" ht="14.25" x14ac:dyDescent="0.2">
      <c r="A130" s="545">
        <v>9634</v>
      </c>
      <c r="B130" s="545">
        <v>1260</v>
      </c>
      <c r="C130" s="551">
        <v>46010</v>
      </c>
      <c r="D130" s="550" t="s">
        <v>456</v>
      </c>
      <c r="E130" s="547">
        <v>0</v>
      </c>
      <c r="F130" s="547">
        <v>0</v>
      </c>
      <c r="G130" s="547">
        <v>0</v>
      </c>
      <c r="H130" s="547">
        <v>18421.25</v>
      </c>
      <c r="I130" s="547">
        <v>0</v>
      </c>
      <c r="J130" s="547">
        <v>0</v>
      </c>
      <c r="K130" s="547">
        <v>0</v>
      </c>
      <c r="L130" s="548">
        <f t="shared" si="2"/>
        <v>18421.25</v>
      </c>
      <c r="M130" s="552" t="s">
        <v>648</v>
      </c>
    </row>
    <row r="131" spans="1:13" ht="14.25" x14ac:dyDescent="0.2">
      <c r="A131" s="545">
        <v>9635</v>
      </c>
      <c r="B131" s="545">
        <v>1261</v>
      </c>
      <c r="C131" s="551">
        <v>46010</v>
      </c>
      <c r="D131" s="550" t="s">
        <v>622</v>
      </c>
      <c r="E131" s="547">
        <v>0</v>
      </c>
      <c r="F131" s="547">
        <v>0</v>
      </c>
      <c r="G131" s="547">
        <v>0</v>
      </c>
      <c r="H131" s="547">
        <v>201088.95</v>
      </c>
      <c r="I131" s="547">
        <v>0</v>
      </c>
      <c r="J131" s="547">
        <v>0</v>
      </c>
      <c r="K131" s="547">
        <v>0</v>
      </c>
      <c r="L131" s="548">
        <f t="shared" si="2"/>
        <v>201088.95</v>
      </c>
      <c r="M131" s="552" t="s">
        <v>259</v>
      </c>
    </row>
    <row r="132" spans="1:13" ht="14.25" x14ac:dyDescent="0.2">
      <c r="A132" s="545">
        <v>9636</v>
      </c>
      <c r="B132" s="545">
        <v>1262</v>
      </c>
      <c r="C132" s="551">
        <v>46010</v>
      </c>
      <c r="D132" s="550" t="s">
        <v>622</v>
      </c>
      <c r="E132" s="547">
        <v>0</v>
      </c>
      <c r="F132" s="547">
        <v>0</v>
      </c>
      <c r="G132" s="547">
        <v>0</v>
      </c>
      <c r="H132" s="547">
        <v>201229.45</v>
      </c>
      <c r="I132" s="547">
        <v>0</v>
      </c>
      <c r="J132" s="547">
        <v>0</v>
      </c>
      <c r="K132" s="547">
        <v>0</v>
      </c>
      <c r="L132" s="548">
        <f t="shared" si="2"/>
        <v>201229.45</v>
      </c>
      <c r="M132" s="552" t="s">
        <v>259</v>
      </c>
    </row>
    <row r="133" spans="1:13" ht="14.25" x14ac:dyDescent="0.2">
      <c r="A133" s="545">
        <v>9637</v>
      </c>
      <c r="B133" s="545">
        <v>1263</v>
      </c>
      <c r="C133" s="551">
        <v>46010</v>
      </c>
      <c r="D133" s="550" t="s">
        <v>622</v>
      </c>
      <c r="E133" s="547">
        <v>0</v>
      </c>
      <c r="F133" s="547">
        <v>0</v>
      </c>
      <c r="G133" s="547">
        <v>0</v>
      </c>
      <c r="H133" s="547">
        <v>35339.85</v>
      </c>
      <c r="I133" s="547">
        <v>0</v>
      </c>
      <c r="J133" s="547">
        <v>0</v>
      </c>
      <c r="K133" s="547">
        <v>0</v>
      </c>
      <c r="L133" s="548">
        <f t="shared" si="2"/>
        <v>35339.85</v>
      </c>
      <c r="M133" s="552" t="s">
        <v>259</v>
      </c>
    </row>
    <row r="134" spans="1:13" ht="14.25" x14ac:dyDescent="0.2">
      <c r="A134" s="545">
        <v>9638</v>
      </c>
      <c r="B134" s="545">
        <v>1264</v>
      </c>
      <c r="C134" s="551">
        <v>46010</v>
      </c>
      <c r="D134" s="550" t="s">
        <v>622</v>
      </c>
      <c r="E134" s="547">
        <v>0</v>
      </c>
      <c r="F134" s="547">
        <v>0</v>
      </c>
      <c r="G134" s="547">
        <v>0</v>
      </c>
      <c r="H134" s="547">
        <v>4484.3999999999996</v>
      </c>
      <c r="I134" s="547">
        <v>0</v>
      </c>
      <c r="J134" s="547">
        <v>0</v>
      </c>
      <c r="K134" s="547">
        <v>0</v>
      </c>
      <c r="L134" s="548">
        <f t="shared" si="2"/>
        <v>4484.3999999999996</v>
      </c>
      <c r="M134" s="552" t="s">
        <v>259</v>
      </c>
    </row>
    <row r="135" spans="1:13" ht="14.25" x14ac:dyDescent="0.2">
      <c r="A135" s="545">
        <v>9639</v>
      </c>
      <c r="B135" s="545">
        <v>1265</v>
      </c>
      <c r="C135" s="551">
        <v>46010</v>
      </c>
      <c r="D135" s="550" t="s">
        <v>339</v>
      </c>
      <c r="E135" s="547">
        <v>0</v>
      </c>
      <c r="F135" s="547">
        <v>0</v>
      </c>
      <c r="G135" s="547">
        <v>0</v>
      </c>
      <c r="H135" s="547">
        <v>1625.14</v>
      </c>
      <c r="I135" s="547">
        <v>0</v>
      </c>
      <c r="J135" s="547">
        <v>0</v>
      </c>
      <c r="K135" s="547">
        <v>0</v>
      </c>
      <c r="L135" s="548">
        <f t="shared" si="2"/>
        <v>1625.14</v>
      </c>
      <c r="M135" s="552" t="s">
        <v>649</v>
      </c>
    </row>
    <row r="136" spans="1:13" ht="14.25" x14ac:dyDescent="0.2">
      <c r="A136" s="545">
        <v>9640</v>
      </c>
      <c r="B136" s="545">
        <v>1266</v>
      </c>
      <c r="C136" s="551">
        <v>46013</v>
      </c>
      <c r="D136" s="550" t="s">
        <v>650</v>
      </c>
      <c r="E136" s="547">
        <v>0</v>
      </c>
      <c r="F136" s="547">
        <v>0</v>
      </c>
      <c r="G136" s="547">
        <v>0</v>
      </c>
      <c r="H136" s="547">
        <v>0</v>
      </c>
      <c r="I136" s="547">
        <v>0</v>
      </c>
      <c r="J136" s="547">
        <v>97245.16</v>
      </c>
      <c r="K136" s="547">
        <v>0</v>
      </c>
      <c r="L136" s="548">
        <f t="shared" si="2"/>
        <v>97245.16</v>
      </c>
      <c r="M136" s="554" t="s">
        <v>483</v>
      </c>
    </row>
    <row r="137" spans="1:13" ht="14.25" x14ac:dyDescent="0.2">
      <c r="A137" s="545">
        <v>9641</v>
      </c>
      <c r="B137" s="545">
        <v>1267</v>
      </c>
      <c r="C137" s="551">
        <v>46013</v>
      </c>
      <c r="D137" s="550" t="s">
        <v>475</v>
      </c>
      <c r="E137" s="547">
        <v>0</v>
      </c>
      <c r="F137" s="547">
        <v>0</v>
      </c>
      <c r="G137" s="547">
        <v>0</v>
      </c>
      <c r="H137" s="547">
        <v>0</v>
      </c>
      <c r="I137" s="547">
        <v>0</v>
      </c>
      <c r="J137" s="547">
        <v>23310</v>
      </c>
      <c r="K137" s="547">
        <v>0</v>
      </c>
      <c r="L137" s="548">
        <f t="shared" si="2"/>
        <v>23310</v>
      </c>
      <c r="M137" s="554" t="s">
        <v>483</v>
      </c>
    </row>
    <row r="138" spans="1:13" ht="14.25" x14ac:dyDescent="0.2">
      <c r="A138" s="545">
        <v>9642</v>
      </c>
      <c r="B138" s="545">
        <v>1268</v>
      </c>
      <c r="C138" s="551">
        <v>46013</v>
      </c>
      <c r="D138" s="550" t="s">
        <v>622</v>
      </c>
      <c r="E138" s="547">
        <v>0</v>
      </c>
      <c r="F138" s="547">
        <v>0</v>
      </c>
      <c r="G138" s="547">
        <v>0</v>
      </c>
      <c r="H138" s="547">
        <v>0</v>
      </c>
      <c r="I138" s="547">
        <v>0</v>
      </c>
      <c r="J138" s="547">
        <v>89510.399999999994</v>
      </c>
      <c r="K138" s="547">
        <v>0</v>
      </c>
      <c r="L138" s="548">
        <f t="shared" si="2"/>
        <v>89510.399999999994</v>
      </c>
      <c r="M138" s="554" t="s">
        <v>483</v>
      </c>
    </row>
    <row r="139" spans="1:13" ht="14.25" x14ac:dyDescent="0.2">
      <c r="A139" s="545">
        <v>9643</v>
      </c>
      <c r="B139" s="545">
        <v>1269</v>
      </c>
      <c r="C139" s="551">
        <v>46013</v>
      </c>
      <c r="D139" s="550" t="s">
        <v>651</v>
      </c>
      <c r="E139" s="547">
        <v>0</v>
      </c>
      <c r="F139" s="547">
        <v>0</v>
      </c>
      <c r="G139" s="547">
        <v>0</v>
      </c>
      <c r="H139" s="547">
        <v>0</v>
      </c>
      <c r="I139" s="547">
        <v>0</v>
      </c>
      <c r="J139" s="547">
        <v>41567.51</v>
      </c>
      <c r="K139" s="547">
        <v>0</v>
      </c>
      <c r="L139" s="548">
        <f t="shared" si="2"/>
        <v>41567.51</v>
      </c>
      <c r="M139" s="554" t="s">
        <v>483</v>
      </c>
    </row>
    <row r="140" spans="1:13" ht="14.25" x14ac:dyDescent="0.2">
      <c r="A140" s="545">
        <v>9644</v>
      </c>
      <c r="B140" s="545">
        <v>1270</v>
      </c>
      <c r="C140" s="551">
        <v>46013</v>
      </c>
      <c r="D140" s="550" t="s">
        <v>453</v>
      </c>
      <c r="E140" s="547">
        <v>11765.82</v>
      </c>
      <c r="F140" s="547">
        <v>0</v>
      </c>
      <c r="G140" s="547">
        <v>0</v>
      </c>
      <c r="H140" s="547">
        <v>0</v>
      </c>
      <c r="I140" s="547">
        <v>0</v>
      </c>
      <c r="J140" s="547">
        <v>0</v>
      </c>
      <c r="K140" s="547">
        <v>0</v>
      </c>
      <c r="L140" s="548">
        <f t="shared" si="2"/>
        <v>11765.82</v>
      </c>
      <c r="M140" s="552" t="s">
        <v>589</v>
      </c>
    </row>
    <row r="141" spans="1:13" ht="14.25" x14ac:dyDescent="0.2">
      <c r="A141" s="545">
        <v>9645</v>
      </c>
      <c r="B141" s="545">
        <v>1271</v>
      </c>
      <c r="C141" s="551">
        <v>46013</v>
      </c>
      <c r="D141" s="550" t="s">
        <v>285</v>
      </c>
      <c r="E141" s="547">
        <v>8613.23</v>
      </c>
      <c r="F141" s="547">
        <v>0</v>
      </c>
      <c r="G141" s="547">
        <v>0</v>
      </c>
      <c r="H141" s="547">
        <v>0</v>
      </c>
      <c r="I141" s="547">
        <v>0</v>
      </c>
      <c r="J141" s="547">
        <v>0</v>
      </c>
      <c r="K141" s="547">
        <v>0</v>
      </c>
      <c r="L141" s="548">
        <f t="shared" si="2"/>
        <v>8613.23</v>
      </c>
      <c r="M141" s="552" t="s">
        <v>652</v>
      </c>
    </row>
    <row r="142" spans="1:13" s="597" customFormat="1" ht="14.25" x14ac:dyDescent="0.2">
      <c r="A142" s="545">
        <v>9646</v>
      </c>
      <c r="B142" s="545">
        <v>1272</v>
      </c>
      <c r="C142" s="551">
        <v>46013</v>
      </c>
      <c r="D142" s="550" t="s">
        <v>285</v>
      </c>
      <c r="E142" s="547">
        <v>9802.76</v>
      </c>
      <c r="F142" s="547">
        <v>0</v>
      </c>
      <c r="G142" s="547">
        <v>0</v>
      </c>
      <c r="H142" s="547">
        <v>0</v>
      </c>
      <c r="I142" s="547">
        <v>0</v>
      </c>
      <c r="J142" s="547">
        <v>0</v>
      </c>
      <c r="K142" s="547">
        <v>0</v>
      </c>
      <c r="L142" s="548">
        <f t="shared" ref="L142:L213" si="3">SUM(E142:K142)</f>
        <v>9802.76</v>
      </c>
      <c r="M142" s="552" t="s">
        <v>653</v>
      </c>
    </row>
    <row r="143" spans="1:13" ht="14.25" x14ac:dyDescent="0.2">
      <c r="A143" s="545">
        <v>9647</v>
      </c>
      <c r="B143" s="545">
        <v>1273</v>
      </c>
      <c r="C143" s="551">
        <v>46013</v>
      </c>
      <c r="D143" s="550" t="s">
        <v>591</v>
      </c>
      <c r="E143" s="547">
        <v>17170.490000000002</v>
      </c>
      <c r="F143" s="547">
        <v>0</v>
      </c>
      <c r="G143" s="547">
        <v>0</v>
      </c>
      <c r="H143" s="547">
        <v>0</v>
      </c>
      <c r="I143" s="547">
        <v>0</v>
      </c>
      <c r="J143" s="547">
        <v>0</v>
      </c>
      <c r="K143" s="547">
        <v>0</v>
      </c>
      <c r="L143" s="548">
        <f t="shared" si="3"/>
        <v>17170.490000000002</v>
      </c>
      <c r="M143" s="552" t="s">
        <v>654</v>
      </c>
    </row>
    <row r="144" spans="1:13" ht="14.25" x14ac:dyDescent="0.2">
      <c r="A144" s="545">
        <v>9648</v>
      </c>
      <c r="B144" s="545">
        <v>1274</v>
      </c>
      <c r="C144" s="551">
        <v>46013</v>
      </c>
      <c r="D144" s="550" t="s">
        <v>591</v>
      </c>
      <c r="E144" s="547">
        <v>0</v>
      </c>
      <c r="F144" s="547">
        <v>123816</v>
      </c>
      <c r="G144" s="547">
        <v>0</v>
      </c>
      <c r="H144" s="547">
        <v>0</v>
      </c>
      <c r="I144" s="547">
        <v>0</v>
      </c>
      <c r="J144" s="547">
        <v>0</v>
      </c>
      <c r="K144" s="547">
        <v>0</v>
      </c>
      <c r="L144" s="548">
        <f t="shared" si="3"/>
        <v>123816</v>
      </c>
      <c r="M144" s="552" t="s">
        <v>655</v>
      </c>
    </row>
    <row r="145" spans="1:13" ht="14.25" x14ac:dyDescent="0.2">
      <c r="A145" s="545">
        <v>9649</v>
      </c>
      <c r="B145" s="545">
        <v>1275</v>
      </c>
      <c r="C145" s="551">
        <v>46013</v>
      </c>
      <c r="D145" s="550" t="s">
        <v>622</v>
      </c>
      <c r="E145" s="547">
        <v>0</v>
      </c>
      <c r="F145" s="547">
        <v>0</v>
      </c>
      <c r="G145" s="547">
        <v>239749.14</v>
      </c>
      <c r="H145" s="547">
        <v>0</v>
      </c>
      <c r="I145" s="547">
        <v>0</v>
      </c>
      <c r="J145" s="547">
        <v>0</v>
      </c>
      <c r="K145" s="547">
        <v>0</v>
      </c>
      <c r="L145" s="548">
        <f t="shared" si="3"/>
        <v>239749.14</v>
      </c>
      <c r="M145" s="552" t="s">
        <v>655</v>
      </c>
    </row>
    <row r="146" spans="1:13" ht="14.25" x14ac:dyDescent="0.2">
      <c r="A146" s="545">
        <v>9650</v>
      </c>
      <c r="B146" s="545">
        <v>1276</v>
      </c>
      <c r="C146" s="551">
        <v>46013</v>
      </c>
      <c r="D146" s="550" t="s">
        <v>609</v>
      </c>
      <c r="E146" s="547">
        <v>0</v>
      </c>
      <c r="F146" s="547">
        <v>0</v>
      </c>
      <c r="G146" s="547">
        <v>3880</v>
      </c>
      <c r="H146" s="547">
        <v>0</v>
      </c>
      <c r="I146" s="547">
        <v>0</v>
      </c>
      <c r="J146" s="547">
        <v>0</v>
      </c>
      <c r="K146" s="547">
        <v>0</v>
      </c>
      <c r="L146" s="548">
        <f t="shared" si="3"/>
        <v>3880</v>
      </c>
      <c r="M146" s="552" t="s">
        <v>656</v>
      </c>
    </row>
    <row r="147" spans="1:13" ht="14.25" x14ac:dyDescent="0.2">
      <c r="A147" s="545">
        <v>9651</v>
      </c>
      <c r="B147" s="545">
        <v>1277</v>
      </c>
      <c r="C147" s="551">
        <v>46013</v>
      </c>
      <c r="D147" s="550" t="s">
        <v>622</v>
      </c>
      <c r="E147" s="547">
        <v>0</v>
      </c>
      <c r="F147" s="547">
        <v>1395.01</v>
      </c>
      <c r="G147" s="547">
        <v>0</v>
      </c>
      <c r="H147" s="547">
        <v>0</v>
      </c>
      <c r="I147" s="547">
        <v>0</v>
      </c>
      <c r="J147" s="547">
        <v>0</v>
      </c>
      <c r="K147" s="547">
        <v>0</v>
      </c>
      <c r="L147" s="548">
        <f t="shared" si="3"/>
        <v>1395.01</v>
      </c>
      <c r="M147" s="552" t="s">
        <v>656</v>
      </c>
    </row>
    <row r="148" spans="1:13" ht="14.25" x14ac:dyDescent="0.2">
      <c r="A148" s="545">
        <v>9652</v>
      </c>
      <c r="B148" s="545">
        <v>1278</v>
      </c>
      <c r="C148" s="551">
        <v>46013</v>
      </c>
      <c r="D148" s="550" t="s">
        <v>285</v>
      </c>
      <c r="E148" s="547">
        <v>0</v>
      </c>
      <c r="F148" s="547">
        <v>110550</v>
      </c>
      <c r="G148" s="547">
        <v>0</v>
      </c>
      <c r="H148" s="547">
        <v>0</v>
      </c>
      <c r="I148" s="547">
        <v>0</v>
      </c>
      <c r="J148" s="547">
        <v>0</v>
      </c>
      <c r="K148" s="547">
        <v>0</v>
      </c>
      <c r="L148" s="548">
        <f t="shared" si="3"/>
        <v>110550</v>
      </c>
      <c r="M148" s="552" t="s">
        <v>657</v>
      </c>
    </row>
    <row r="149" spans="1:13" ht="14.25" x14ac:dyDescent="0.2">
      <c r="A149" s="545">
        <v>9653</v>
      </c>
      <c r="B149" s="545">
        <v>1279</v>
      </c>
      <c r="C149" s="551">
        <v>46013</v>
      </c>
      <c r="D149" s="550" t="s">
        <v>285</v>
      </c>
      <c r="E149" s="547">
        <v>15320.33</v>
      </c>
      <c r="F149" s="547">
        <v>0</v>
      </c>
      <c r="G149" s="547">
        <v>0</v>
      </c>
      <c r="H149" s="547">
        <v>0</v>
      </c>
      <c r="I149" s="547">
        <v>0</v>
      </c>
      <c r="J149" s="547">
        <v>0</v>
      </c>
      <c r="K149" s="547">
        <v>0</v>
      </c>
      <c r="L149" s="548">
        <f t="shared" si="3"/>
        <v>15320.33</v>
      </c>
      <c r="M149" s="552" t="s">
        <v>657</v>
      </c>
    </row>
    <row r="150" spans="1:13" ht="14.25" x14ac:dyDescent="0.2">
      <c r="A150" s="545">
        <v>9654</v>
      </c>
      <c r="B150" s="545">
        <v>1280</v>
      </c>
      <c r="C150" s="551">
        <v>46013</v>
      </c>
      <c r="D150" s="550" t="s">
        <v>658</v>
      </c>
      <c r="E150" s="547">
        <v>0</v>
      </c>
      <c r="F150" s="547">
        <v>0</v>
      </c>
      <c r="G150" s="547">
        <v>306637.40000000002</v>
      </c>
      <c r="H150" s="547">
        <v>0</v>
      </c>
      <c r="I150" s="547">
        <v>0</v>
      </c>
      <c r="J150" s="547">
        <v>0</v>
      </c>
      <c r="K150" s="547">
        <v>0</v>
      </c>
      <c r="L150" s="548">
        <f t="shared" si="3"/>
        <v>306637.40000000002</v>
      </c>
      <c r="M150" s="552" t="s">
        <v>657</v>
      </c>
    </row>
    <row r="151" spans="1:13" ht="14.25" x14ac:dyDescent="0.2">
      <c r="A151" s="545">
        <v>9655</v>
      </c>
      <c r="B151" s="545">
        <v>1281</v>
      </c>
      <c r="C151" s="551">
        <v>46013</v>
      </c>
      <c r="D151" s="550" t="s">
        <v>285</v>
      </c>
      <c r="E151" s="547">
        <v>0</v>
      </c>
      <c r="F151" s="547">
        <v>0</v>
      </c>
      <c r="G151" s="547">
        <v>1940</v>
      </c>
      <c r="H151" s="547">
        <v>0</v>
      </c>
      <c r="I151" s="547">
        <v>0</v>
      </c>
      <c r="J151" s="547">
        <v>0</v>
      </c>
      <c r="K151" s="547">
        <v>0</v>
      </c>
      <c r="L151" s="548">
        <f t="shared" si="3"/>
        <v>1940</v>
      </c>
      <c r="M151" s="552" t="s">
        <v>659</v>
      </c>
    </row>
    <row r="152" spans="1:13" ht="14.25" x14ac:dyDescent="0.2">
      <c r="A152" s="545">
        <v>9656</v>
      </c>
      <c r="B152" s="545">
        <v>1282</v>
      </c>
      <c r="C152" s="551">
        <v>46013</v>
      </c>
      <c r="D152" s="550" t="s">
        <v>475</v>
      </c>
      <c r="E152" s="547">
        <v>0</v>
      </c>
      <c r="F152" s="547">
        <v>0</v>
      </c>
      <c r="G152" s="547">
        <v>0</v>
      </c>
      <c r="H152" s="547">
        <v>20004.23</v>
      </c>
      <c r="I152" s="547">
        <v>0</v>
      </c>
      <c r="J152" s="547">
        <v>0</v>
      </c>
      <c r="K152" s="547">
        <v>0</v>
      </c>
      <c r="L152" s="548">
        <f t="shared" si="3"/>
        <v>20004.23</v>
      </c>
      <c r="M152" s="552" t="s">
        <v>657</v>
      </c>
    </row>
    <row r="153" spans="1:13" ht="14.25" x14ac:dyDescent="0.2">
      <c r="A153" s="545">
        <v>9657</v>
      </c>
      <c r="B153" s="545">
        <v>1283</v>
      </c>
      <c r="C153" s="551">
        <v>46013</v>
      </c>
      <c r="D153" s="550" t="s">
        <v>660</v>
      </c>
      <c r="E153" s="547">
        <v>8495.33</v>
      </c>
      <c r="F153" s="547">
        <v>0</v>
      </c>
      <c r="G153" s="547">
        <v>0</v>
      </c>
      <c r="H153" s="547">
        <v>0</v>
      </c>
      <c r="I153" s="547">
        <v>0</v>
      </c>
      <c r="J153" s="547">
        <v>0</v>
      </c>
      <c r="K153" s="547">
        <v>0</v>
      </c>
      <c r="L153" s="548">
        <f t="shared" si="3"/>
        <v>8495.33</v>
      </c>
      <c r="M153" s="552" t="s">
        <v>661</v>
      </c>
    </row>
    <row r="154" spans="1:13" ht="14.25" x14ac:dyDescent="0.2">
      <c r="A154" s="545">
        <v>9658</v>
      </c>
      <c r="B154" s="545">
        <v>1284</v>
      </c>
      <c r="C154" s="551">
        <v>46013</v>
      </c>
      <c r="D154" s="550" t="s">
        <v>285</v>
      </c>
      <c r="E154" s="547">
        <v>8613.23</v>
      </c>
      <c r="F154" s="547">
        <v>0</v>
      </c>
      <c r="G154" s="547">
        <v>0</v>
      </c>
      <c r="H154" s="547">
        <v>0</v>
      </c>
      <c r="I154" s="547">
        <v>0</v>
      </c>
      <c r="J154" s="547">
        <v>0</v>
      </c>
      <c r="K154" s="547">
        <v>0</v>
      </c>
      <c r="L154" s="548">
        <f t="shared" si="3"/>
        <v>8613.23</v>
      </c>
      <c r="M154" s="552" t="s">
        <v>652</v>
      </c>
    </row>
    <row r="155" spans="1:13" ht="14.25" x14ac:dyDescent="0.2">
      <c r="A155" s="545">
        <v>9659</v>
      </c>
      <c r="B155" s="545">
        <v>1285</v>
      </c>
      <c r="C155" s="551">
        <v>46013</v>
      </c>
      <c r="D155" s="550" t="s">
        <v>609</v>
      </c>
      <c r="E155" s="547">
        <v>0</v>
      </c>
      <c r="F155" s="547">
        <v>870.84</v>
      </c>
      <c r="G155" s="547">
        <v>776</v>
      </c>
      <c r="H155" s="547">
        <v>0</v>
      </c>
      <c r="I155" s="547">
        <v>0</v>
      </c>
      <c r="J155" s="547">
        <v>0</v>
      </c>
      <c r="K155" s="547">
        <v>0</v>
      </c>
      <c r="L155" s="548">
        <f t="shared" si="3"/>
        <v>1646.8400000000001</v>
      </c>
      <c r="M155" s="552" t="s">
        <v>662</v>
      </c>
    </row>
    <row r="156" spans="1:13" ht="14.25" x14ac:dyDescent="0.2">
      <c r="A156" s="545">
        <v>9660</v>
      </c>
      <c r="B156" s="545">
        <v>1286</v>
      </c>
      <c r="C156" s="551">
        <v>46013</v>
      </c>
      <c r="D156" s="550" t="s">
        <v>285</v>
      </c>
      <c r="E156" s="547">
        <v>0</v>
      </c>
      <c r="F156" s="547">
        <v>874.37</v>
      </c>
      <c r="G156" s="547">
        <v>0</v>
      </c>
      <c r="H156" s="547">
        <v>0</v>
      </c>
      <c r="I156" s="547">
        <v>0</v>
      </c>
      <c r="J156" s="547">
        <v>0</v>
      </c>
      <c r="K156" s="547">
        <v>0</v>
      </c>
      <c r="L156" s="548">
        <f t="shared" si="3"/>
        <v>874.37</v>
      </c>
      <c r="M156" s="552" t="s">
        <v>663</v>
      </c>
    </row>
    <row r="157" spans="1:13" ht="14.25" x14ac:dyDescent="0.2">
      <c r="A157" s="545">
        <v>9661</v>
      </c>
      <c r="B157" s="545">
        <v>1287</v>
      </c>
      <c r="C157" s="551">
        <v>46014</v>
      </c>
      <c r="D157" s="550" t="s">
        <v>578</v>
      </c>
      <c r="E157" s="547">
        <v>0</v>
      </c>
      <c r="F157" s="547">
        <v>865.09</v>
      </c>
      <c r="G157" s="547">
        <v>776</v>
      </c>
      <c r="H157" s="547">
        <v>0</v>
      </c>
      <c r="I157" s="547">
        <v>0</v>
      </c>
      <c r="J157" s="547">
        <v>0</v>
      </c>
      <c r="K157" s="547">
        <v>0</v>
      </c>
      <c r="L157" s="548">
        <f t="shared" si="3"/>
        <v>1641.0900000000001</v>
      </c>
      <c r="M157" s="552" t="s">
        <v>664</v>
      </c>
    </row>
    <row r="158" spans="1:13" ht="14.25" x14ac:dyDescent="0.2">
      <c r="A158" s="545">
        <v>9662</v>
      </c>
      <c r="B158" s="545">
        <v>1288</v>
      </c>
      <c r="C158" s="551">
        <v>46014</v>
      </c>
      <c r="D158" s="550" t="s">
        <v>473</v>
      </c>
      <c r="E158" s="547">
        <v>0</v>
      </c>
      <c r="F158" s="547">
        <v>870.84</v>
      </c>
      <c r="G158" s="547">
        <v>776</v>
      </c>
      <c r="H158" s="547">
        <v>0</v>
      </c>
      <c r="I158" s="547">
        <v>0</v>
      </c>
      <c r="J158" s="547">
        <v>0</v>
      </c>
      <c r="K158" s="547">
        <v>0</v>
      </c>
      <c r="L158" s="548">
        <f t="shared" si="3"/>
        <v>1646.8400000000001</v>
      </c>
      <c r="M158" s="552" t="s">
        <v>479</v>
      </c>
    </row>
    <row r="159" spans="1:13" ht="14.25" x14ac:dyDescent="0.2">
      <c r="A159" s="545">
        <v>9663</v>
      </c>
      <c r="B159" s="545">
        <v>1289</v>
      </c>
      <c r="C159" s="551">
        <v>46014</v>
      </c>
      <c r="D159" s="550" t="s">
        <v>454</v>
      </c>
      <c r="E159" s="547">
        <v>0</v>
      </c>
      <c r="F159" s="547">
        <v>968.87</v>
      </c>
      <c r="G159" s="547">
        <v>983.45</v>
      </c>
      <c r="H159" s="547">
        <v>0</v>
      </c>
      <c r="I159" s="547">
        <v>0</v>
      </c>
      <c r="J159" s="547">
        <v>0</v>
      </c>
      <c r="K159" s="547">
        <v>0</v>
      </c>
      <c r="L159" s="548">
        <f t="shared" si="3"/>
        <v>1952.3200000000002</v>
      </c>
      <c r="M159" s="552" t="s">
        <v>665</v>
      </c>
    </row>
    <row r="160" spans="1:13" ht="14.25" x14ac:dyDescent="0.2">
      <c r="A160" s="545">
        <v>9664</v>
      </c>
      <c r="B160" s="545">
        <v>1290</v>
      </c>
      <c r="C160" s="551">
        <v>46014</v>
      </c>
      <c r="D160" s="550" t="s">
        <v>473</v>
      </c>
      <c r="E160" s="547">
        <v>0</v>
      </c>
      <c r="F160" s="547">
        <v>870.84</v>
      </c>
      <c r="G160" s="547">
        <v>776</v>
      </c>
      <c r="H160" s="547">
        <v>0</v>
      </c>
      <c r="I160" s="547">
        <v>0</v>
      </c>
      <c r="J160" s="547">
        <v>0</v>
      </c>
      <c r="K160" s="547">
        <v>0</v>
      </c>
      <c r="L160" s="548">
        <f t="shared" si="3"/>
        <v>1646.8400000000001</v>
      </c>
      <c r="M160" s="552" t="s">
        <v>665</v>
      </c>
    </row>
    <row r="161" spans="1:13" ht="14.25" x14ac:dyDescent="0.2">
      <c r="A161" s="545">
        <v>9665</v>
      </c>
      <c r="B161" s="545">
        <v>1291</v>
      </c>
      <c r="C161" s="551">
        <v>46014</v>
      </c>
      <c r="D161" s="550" t="s">
        <v>473</v>
      </c>
      <c r="E161" s="547">
        <v>0</v>
      </c>
      <c r="F161" s="547">
        <v>463.68</v>
      </c>
      <c r="G161" s="547">
        <v>0</v>
      </c>
      <c r="H161" s="547">
        <v>0</v>
      </c>
      <c r="I161" s="547">
        <v>0</v>
      </c>
      <c r="J161" s="547">
        <v>0</v>
      </c>
      <c r="K161" s="547">
        <v>0</v>
      </c>
      <c r="L161" s="548">
        <f t="shared" si="3"/>
        <v>463.68</v>
      </c>
      <c r="M161" s="552" t="s">
        <v>487</v>
      </c>
    </row>
    <row r="162" spans="1:13" ht="14.25" x14ac:dyDescent="0.2">
      <c r="A162" s="545">
        <v>9666</v>
      </c>
      <c r="B162" s="545">
        <v>1292</v>
      </c>
      <c r="C162" s="551">
        <v>46014</v>
      </c>
      <c r="D162" s="550" t="s">
        <v>473</v>
      </c>
      <c r="E162" s="547">
        <v>0</v>
      </c>
      <c r="F162" s="547">
        <v>463.68</v>
      </c>
      <c r="G162" s="547">
        <v>0</v>
      </c>
      <c r="H162" s="547">
        <v>0</v>
      </c>
      <c r="I162" s="547">
        <v>0</v>
      </c>
      <c r="J162" s="547">
        <v>0</v>
      </c>
      <c r="K162" s="547">
        <v>0</v>
      </c>
      <c r="L162" s="548">
        <f t="shared" si="3"/>
        <v>463.68</v>
      </c>
      <c r="M162" s="552" t="s">
        <v>664</v>
      </c>
    </row>
    <row r="163" spans="1:13" ht="14.25" x14ac:dyDescent="0.2">
      <c r="A163" s="545">
        <v>9667</v>
      </c>
      <c r="B163" s="545">
        <v>1293</v>
      </c>
      <c r="C163" s="551">
        <v>46014</v>
      </c>
      <c r="D163" s="550" t="s">
        <v>285</v>
      </c>
      <c r="E163" s="547">
        <v>0</v>
      </c>
      <c r="F163" s="547">
        <f>463.68+437.18</f>
        <v>900.86</v>
      </c>
      <c r="G163" s="547">
        <f>776+776</f>
        <v>1552</v>
      </c>
      <c r="H163" s="547">
        <v>0</v>
      </c>
      <c r="I163" s="547">
        <v>0</v>
      </c>
      <c r="J163" s="547">
        <v>0</v>
      </c>
      <c r="K163" s="547">
        <v>0</v>
      </c>
      <c r="L163" s="548">
        <f t="shared" si="3"/>
        <v>2452.86</v>
      </c>
      <c r="M163" s="552" t="s">
        <v>626</v>
      </c>
    </row>
    <row r="164" spans="1:13" s="597" customFormat="1" ht="14.25" x14ac:dyDescent="0.2">
      <c r="A164" s="545">
        <v>9668</v>
      </c>
      <c r="B164" s="545">
        <v>1294</v>
      </c>
      <c r="C164" s="551">
        <v>46014</v>
      </c>
      <c r="D164" s="550" t="s">
        <v>454</v>
      </c>
      <c r="E164" s="547">
        <v>0</v>
      </c>
      <c r="F164" s="547">
        <v>870.84</v>
      </c>
      <c r="G164" s="547">
        <v>776</v>
      </c>
      <c r="H164" s="547">
        <v>0</v>
      </c>
      <c r="I164" s="547">
        <v>26.77</v>
      </c>
      <c r="J164" s="547">
        <v>0</v>
      </c>
      <c r="K164" s="547">
        <v>0</v>
      </c>
      <c r="L164" s="548">
        <f>SUM(E164:K164)</f>
        <v>1673.6100000000001</v>
      </c>
      <c r="M164" s="552" t="s">
        <v>666</v>
      </c>
    </row>
    <row r="165" spans="1:13" ht="14.25" x14ac:dyDescent="0.2">
      <c r="A165" s="545">
        <v>9669</v>
      </c>
      <c r="B165" s="545">
        <v>1295</v>
      </c>
      <c r="C165" s="551">
        <v>46014</v>
      </c>
      <c r="D165" s="550" t="s">
        <v>473</v>
      </c>
      <c r="E165" s="547">
        <v>0</v>
      </c>
      <c r="F165" s="547">
        <v>968.87</v>
      </c>
      <c r="G165" s="547">
        <v>776</v>
      </c>
      <c r="H165" s="547">
        <v>0</v>
      </c>
      <c r="I165" s="547">
        <v>0</v>
      </c>
      <c r="J165" s="547">
        <v>0</v>
      </c>
      <c r="K165" s="547">
        <v>0</v>
      </c>
      <c r="L165" s="548">
        <f t="shared" si="3"/>
        <v>1744.87</v>
      </c>
      <c r="M165" s="552" t="s">
        <v>488</v>
      </c>
    </row>
    <row r="166" spans="1:13" ht="14.25" x14ac:dyDescent="0.2">
      <c r="A166" s="545">
        <v>9670</v>
      </c>
      <c r="B166" s="545">
        <v>1296</v>
      </c>
      <c r="C166" s="551">
        <v>46014</v>
      </c>
      <c r="D166" s="550" t="s">
        <v>285</v>
      </c>
      <c r="E166" s="547">
        <v>0</v>
      </c>
      <c r="F166" s="547">
        <v>437.18</v>
      </c>
      <c r="G166" s="547">
        <v>0</v>
      </c>
      <c r="H166" s="547">
        <v>0</v>
      </c>
      <c r="I166" s="547">
        <v>0</v>
      </c>
      <c r="J166" s="547">
        <v>0</v>
      </c>
      <c r="K166" s="547">
        <v>0</v>
      </c>
      <c r="L166" s="548">
        <f t="shared" si="3"/>
        <v>437.18</v>
      </c>
      <c r="M166" s="552" t="s">
        <v>626</v>
      </c>
    </row>
    <row r="167" spans="1:13" ht="14.25" x14ac:dyDescent="0.2">
      <c r="A167" s="545">
        <v>9671</v>
      </c>
      <c r="B167" s="545">
        <v>1297</v>
      </c>
      <c r="C167" s="551">
        <v>46014</v>
      </c>
      <c r="D167" s="550" t="s">
        <v>285</v>
      </c>
      <c r="E167" s="547">
        <v>0</v>
      </c>
      <c r="F167" s="547">
        <f>1080.6+463.68+463.68+419.52+463.68+463.68+463.68+463.68+463.68+463.68+463.68+463.68+463.68+463.68+432.76</f>
        <v>7497.0400000000018</v>
      </c>
      <c r="G167" s="547">
        <f>776+776+776</f>
        <v>2328</v>
      </c>
      <c r="H167" s="547">
        <v>0</v>
      </c>
      <c r="I167" s="547">
        <v>0</v>
      </c>
      <c r="J167" s="547">
        <v>0</v>
      </c>
      <c r="K167" s="547">
        <v>0</v>
      </c>
      <c r="L167" s="548">
        <f t="shared" si="3"/>
        <v>9825.0400000000009</v>
      </c>
      <c r="M167" s="552" t="s">
        <v>603</v>
      </c>
    </row>
    <row r="168" spans="1:13" ht="14.25" x14ac:dyDescent="0.2">
      <c r="A168" s="545">
        <v>9672</v>
      </c>
      <c r="B168" s="545">
        <v>1298</v>
      </c>
      <c r="C168" s="551">
        <v>46014</v>
      </c>
      <c r="D168" s="550" t="s">
        <v>622</v>
      </c>
      <c r="E168" s="547">
        <v>0</v>
      </c>
      <c r="F168" s="547">
        <v>0</v>
      </c>
      <c r="G168" s="547">
        <v>0</v>
      </c>
      <c r="H168" s="547">
        <v>0</v>
      </c>
      <c r="I168" s="547">
        <v>80.31</v>
      </c>
      <c r="J168" s="547">
        <v>0</v>
      </c>
      <c r="K168" s="547">
        <v>0</v>
      </c>
      <c r="L168" s="548">
        <f t="shared" si="3"/>
        <v>80.31</v>
      </c>
      <c r="M168" s="552" t="s">
        <v>667</v>
      </c>
    </row>
    <row r="169" spans="1:13" ht="14.25" x14ac:dyDescent="0.2">
      <c r="A169" s="545">
        <v>9673</v>
      </c>
      <c r="B169" s="545">
        <v>1299</v>
      </c>
      <c r="C169" s="551">
        <v>46014</v>
      </c>
      <c r="D169" s="550" t="s">
        <v>658</v>
      </c>
      <c r="E169" s="547">
        <v>0</v>
      </c>
      <c r="F169" s="547">
        <v>0</v>
      </c>
      <c r="G169" s="547">
        <v>0</v>
      </c>
      <c r="H169" s="547">
        <v>0</v>
      </c>
      <c r="I169" s="547">
        <v>6748.47</v>
      </c>
      <c r="J169" s="547">
        <v>0</v>
      </c>
      <c r="K169" s="547">
        <v>0</v>
      </c>
      <c r="L169" s="548">
        <f t="shared" si="3"/>
        <v>6748.47</v>
      </c>
      <c r="M169" s="552" t="s">
        <v>657</v>
      </c>
    </row>
    <row r="170" spans="1:13" ht="14.25" x14ac:dyDescent="0.2">
      <c r="A170" s="545">
        <v>9674</v>
      </c>
      <c r="B170" s="545">
        <v>1300</v>
      </c>
      <c r="C170" s="551">
        <v>46014</v>
      </c>
      <c r="D170" s="550" t="s">
        <v>582</v>
      </c>
      <c r="E170" s="547">
        <v>0</v>
      </c>
      <c r="F170" s="547">
        <v>0</v>
      </c>
      <c r="G170" s="547">
        <v>0</v>
      </c>
      <c r="H170" s="547">
        <v>0</v>
      </c>
      <c r="I170" s="547">
        <v>1242.05</v>
      </c>
      <c r="J170" s="547">
        <v>0</v>
      </c>
      <c r="K170" s="547">
        <v>0</v>
      </c>
      <c r="L170" s="548">
        <f t="shared" si="3"/>
        <v>1242.05</v>
      </c>
      <c r="M170" s="552" t="s">
        <v>668</v>
      </c>
    </row>
    <row r="171" spans="1:13" ht="14.25" x14ac:dyDescent="0.2">
      <c r="A171" s="545">
        <v>9675</v>
      </c>
      <c r="B171" s="545">
        <v>1301</v>
      </c>
      <c r="C171" s="551">
        <v>46014</v>
      </c>
      <c r="D171" s="550" t="s">
        <v>578</v>
      </c>
      <c r="E171" s="547">
        <v>6186.1</v>
      </c>
      <c r="F171" s="547">
        <v>0</v>
      </c>
      <c r="G171" s="547">
        <v>0</v>
      </c>
      <c r="H171" s="547">
        <v>0</v>
      </c>
      <c r="I171" s="547">
        <v>0</v>
      </c>
      <c r="J171" s="547">
        <v>0</v>
      </c>
      <c r="K171" s="547">
        <v>0</v>
      </c>
      <c r="L171" s="548">
        <f t="shared" si="3"/>
        <v>6186.1</v>
      </c>
      <c r="M171" s="552" t="s">
        <v>669</v>
      </c>
    </row>
    <row r="172" spans="1:13" ht="14.25" x14ac:dyDescent="0.2">
      <c r="A172" s="545">
        <v>9676</v>
      </c>
      <c r="B172" s="545">
        <v>1302</v>
      </c>
      <c r="C172" s="551">
        <v>46021</v>
      </c>
      <c r="D172" s="550" t="s">
        <v>285</v>
      </c>
      <c r="E172" s="547">
        <v>0</v>
      </c>
      <c r="F172" s="547">
        <v>46431</v>
      </c>
      <c r="G172" s="547">
        <v>0</v>
      </c>
      <c r="H172" s="547">
        <v>0</v>
      </c>
      <c r="I172" s="547">
        <v>0</v>
      </c>
      <c r="J172" s="547">
        <v>0</v>
      </c>
      <c r="K172" s="547">
        <v>0</v>
      </c>
      <c r="L172" s="548">
        <f t="shared" si="3"/>
        <v>46431</v>
      </c>
      <c r="M172" s="552" t="s">
        <v>670</v>
      </c>
    </row>
    <row r="173" spans="1:13" ht="14.25" x14ac:dyDescent="0.2">
      <c r="A173" s="545">
        <v>9677</v>
      </c>
      <c r="B173" s="545">
        <v>1303</v>
      </c>
      <c r="C173" s="551">
        <v>46021</v>
      </c>
      <c r="D173" s="550" t="s">
        <v>285</v>
      </c>
      <c r="E173" s="547">
        <v>4293.47</v>
      </c>
      <c r="F173" s="547">
        <v>0</v>
      </c>
      <c r="G173" s="547">
        <v>0</v>
      </c>
      <c r="H173" s="547">
        <v>0</v>
      </c>
      <c r="I173" s="547">
        <v>0</v>
      </c>
      <c r="J173" s="547">
        <v>0</v>
      </c>
      <c r="K173" s="547">
        <v>0</v>
      </c>
      <c r="L173" s="548">
        <f t="shared" si="3"/>
        <v>4293.47</v>
      </c>
      <c r="M173" s="552" t="s">
        <v>671</v>
      </c>
    </row>
    <row r="174" spans="1:13" ht="14.25" x14ac:dyDescent="0.2">
      <c r="A174" s="545">
        <v>9678</v>
      </c>
      <c r="B174" s="545">
        <v>1304</v>
      </c>
      <c r="C174" s="551">
        <v>46021</v>
      </c>
      <c r="D174" s="550" t="s">
        <v>582</v>
      </c>
      <c r="E174" s="547">
        <v>0</v>
      </c>
      <c r="F174" s="547">
        <v>0</v>
      </c>
      <c r="G174" s="547">
        <v>107921.25</v>
      </c>
      <c r="H174" s="547">
        <v>0</v>
      </c>
      <c r="I174" s="547">
        <v>0</v>
      </c>
      <c r="J174" s="547">
        <v>0</v>
      </c>
      <c r="K174" s="547">
        <v>0</v>
      </c>
      <c r="L174" s="548">
        <f t="shared" si="3"/>
        <v>107921.25</v>
      </c>
      <c r="M174" s="552" t="s">
        <v>670</v>
      </c>
    </row>
    <row r="175" spans="1:13" ht="14.25" x14ac:dyDescent="0.2">
      <c r="A175" s="545">
        <v>9679</v>
      </c>
      <c r="B175" s="545">
        <v>1305</v>
      </c>
      <c r="C175" s="551">
        <v>46021</v>
      </c>
      <c r="D175" s="550" t="s">
        <v>285</v>
      </c>
      <c r="E175" s="547">
        <v>6339.1</v>
      </c>
      <c r="F175" s="547">
        <v>0</v>
      </c>
      <c r="G175" s="547">
        <v>0</v>
      </c>
      <c r="H175" s="547">
        <v>0</v>
      </c>
      <c r="I175" s="547">
        <v>0</v>
      </c>
      <c r="J175" s="547">
        <v>0</v>
      </c>
      <c r="K175" s="547">
        <v>0</v>
      </c>
      <c r="L175" s="548">
        <f t="shared" si="3"/>
        <v>6339.1</v>
      </c>
      <c r="M175" s="552" t="s">
        <v>670</v>
      </c>
    </row>
    <row r="176" spans="1:13" ht="14.25" x14ac:dyDescent="0.2">
      <c r="A176" s="545">
        <v>9680</v>
      </c>
      <c r="B176" s="545">
        <v>1306</v>
      </c>
      <c r="C176" s="551">
        <v>46021</v>
      </c>
      <c r="D176" s="550" t="s">
        <v>285</v>
      </c>
      <c r="E176" s="547">
        <v>0</v>
      </c>
      <c r="F176" s="547">
        <v>0</v>
      </c>
      <c r="G176" s="547">
        <v>1940</v>
      </c>
      <c r="H176" s="547">
        <v>0</v>
      </c>
      <c r="I176" s="547">
        <v>0</v>
      </c>
      <c r="J176" s="547">
        <v>0</v>
      </c>
      <c r="K176" s="547">
        <v>0</v>
      </c>
      <c r="L176" s="548">
        <f t="shared" si="3"/>
        <v>1940</v>
      </c>
      <c r="M176" s="552" t="s">
        <v>672</v>
      </c>
    </row>
    <row r="177" spans="1:13" ht="14.25" x14ac:dyDescent="0.2">
      <c r="A177" s="545">
        <v>9681</v>
      </c>
      <c r="B177" s="545">
        <v>1307</v>
      </c>
      <c r="C177" s="551">
        <v>46021</v>
      </c>
      <c r="D177" s="550" t="s">
        <v>582</v>
      </c>
      <c r="E177" s="547">
        <v>0</v>
      </c>
      <c r="F177" s="547">
        <v>0</v>
      </c>
      <c r="G177" s="547">
        <v>0</v>
      </c>
      <c r="H177" s="547">
        <v>0</v>
      </c>
      <c r="I177" s="547">
        <v>733.51</v>
      </c>
      <c r="J177" s="547">
        <v>0</v>
      </c>
      <c r="K177" s="547">
        <v>0</v>
      </c>
      <c r="L177" s="548">
        <f t="shared" si="3"/>
        <v>733.51</v>
      </c>
      <c r="M177" s="552" t="s">
        <v>670</v>
      </c>
    </row>
    <row r="178" spans="1:13" ht="14.25" x14ac:dyDescent="0.2">
      <c r="A178" s="545">
        <v>9682</v>
      </c>
      <c r="B178" s="545">
        <v>1308</v>
      </c>
      <c r="C178" s="551">
        <v>46021</v>
      </c>
      <c r="D178" s="550" t="s">
        <v>584</v>
      </c>
      <c r="E178" s="547">
        <v>0</v>
      </c>
      <c r="F178" s="547">
        <v>68541</v>
      </c>
      <c r="G178" s="547">
        <v>0</v>
      </c>
      <c r="H178" s="547">
        <v>0</v>
      </c>
      <c r="I178" s="547">
        <v>0</v>
      </c>
      <c r="J178" s="547">
        <v>0</v>
      </c>
      <c r="K178" s="547">
        <v>0</v>
      </c>
      <c r="L178" s="548">
        <f t="shared" si="3"/>
        <v>68541</v>
      </c>
      <c r="M178" s="552" t="s">
        <v>673</v>
      </c>
    </row>
    <row r="179" spans="1:13" ht="14.25" x14ac:dyDescent="0.2">
      <c r="A179" s="545">
        <v>9683</v>
      </c>
      <c r="B179" s="545">
        <v>1309</v>
      </c>
      <c r="C179" s="551">
        <v>46021</v>
      </c>
      <c r="D179" s="550" t="s">
        <v>584</v>
      </c>
      <c r="E179" s="547">
        <v>14773.94</v>
      </c>
      <c r="F179" s="547">
        <v>0</v>
      </c>
      <c r="G179" s="547">
        <v>0</v>
      </c>
      <c r="H179" s="547">
        <v>0</v>
      </c>
      <c r="I179" s="547">
        <v>0</v>
      </c>
      <c r="J179" s="547">
        <v>0</v>
      </c>
      <c r="K179" s="547">
        <v>0</v>
      </c>
      <c r="L179" s="548">
        <f t="shared" si="3"/>
        <v>14773.94</v>
      </c>
      <c r="M179" s="552" t="s">
        <v>674</v>
      </c>
    </row>
    <row r="180" spans="1:13" ht="14.25" x14ac:dyDescent="0.2">
      <c r="A180" s="545">
        <v>9684</v>
      </c>
      <c r="B180" s="545">
        <v>1310</v>
      </c>
      <c r="C180" s="551">
        <v>46021</v>
      </c>
      <c r="D180" s="550" t="s">
        <v>582</v>
      </c>
      <c r="E180" s="547">
        <v>0</v>
      </c>
      <c r="F180" s="547">
        <v>0</v>
      </c>
      <c r="G180" s="547">
        <v>98287.15</v>
      </c>
      <c r="H180" s="547">
        <v>0</v>
      </c>
      <c r="I180" s="547">
        <v>0</v>
      </c>
      <c r="J180" s="547">
        <v>0</v>
      </c>
      <c r="K180" s="547">
        <v>0</v>
      </c>
      <c r="L180" s="548">
        <f t="shared" si="3"/>
        <v>98287.15</v>
      </c>
      <c r="M180" s="552" t="s">
        <v>673</v>
      </c>
    </row>
    <row r="181" spans="1:13" ht="14.25" x14ac:dyDescent="0.2">
      <c r="A181" s="545">
        <v>9685</v>
      </c>
      <c r="B181" s="545">
        <v>1311</v>
      </c>
      <c r="C181" s="551">
        <v>46021</v>
      </c>
      <c r="D181" s="550" t="s">
        <v>582</v>
      </c>
      <c r="E181" s="547">
        <v>0</v>
      </c>
      <c r="F181" s="547">
        <v>0</v>
      </c>
      <c r="G181" s="547">
        <v>0</v>
      </c>
      <c r="H181" s="547">
        <v>20009.849999999999</v>
      </c>
      <c r="I181" s="547">
        <v>0</v>
      </c>
      <c r="J181" s="547">
        <v>0</v>
      </c>
      <c r="K181" s="547">
        <v>0</v>
      </c>
      <c r="L181" s="548">
        <f t="shared" si="3"/>
        <v>20009.849999999999</v>
      </c>
      <c r="M181" s="552" t="s">
        <v>673</v>
      </c>
    </row>
    <row r="182" spans="1:13" ht="14.25" x14ac:dyDescent="0.2">
      <c r="A182" s="545">
        <v>9686</v>
      </c>
      <c r="B182" s="545">
        <v>1312</v>
      </c>
      <c r="C182" s="551">
        <v>46021</v>
      </c>
      <c r="D182" s="550" t="s">
        <v>283</v>
      </c>
      <c r="E182" s="547">
        <v>0</v>
      </c>
      <c r="F182" s="547">
        <f>419.52+432.77+463.68+463.68+463.68+463.68+463.68+463.68+463.68</f>
        <v>4098.0499999999993</v>
      </c>
      <c r="G182" s="547">
        <v>776</v>
      </c>
      <c r="H182" s="547">
        <v>0</v>
      </c>
      <c r="I182" s="547">
        <v>0</v>
      </c>
      <c r="J182" s="547">
        <v>0</v>
      </c>
      <c r="K182" s="547">
        <v>0</v>
      </c>
      <c r="L182" s="548">
        <f t="shared" si="3"/>
        <v>4874.0499999999993</v>
      </c>
      <c r="M182" s="552" t="s">
        <v>603</v>
      </c>
    </row>
    <row r="183" spans="1:13" ht="14.25" x14ac:dyDescent="0.2">
      <c r="A183" s="545">
        <v>9687</v>
      </c>
      <c r="B183" s="545">
        <v>1313</v>
      </c>
      <c r="C183" s="551">
        <v>46021</v>
      </c>
      <c r="D183" s="550" t="s">
        <v>285</v>
      </c>
      <c r="E183" s="547">
        <v>12027.64</v>
      </c>
      <c r="F183" s="547">
        <v>0</v>
      </c>
      <c r="G183" s="547">
        <v>0</v>
      </c>
      <c r="H183" s="547">
        <v>0</v>
      </c>
      <c r="I183" s="547">
        <v>0</v>
      </c>
      <c r="J183" s="547">
        <v>0</v>
      </c>
      <c r="K183" s="547">
        <v>0</v>
      </c>
      <c r="L183" s="548">
        <f t="shared" si="3"/>
        <v>12027.64</v>
      </c>
      <c r="M183" s="552" t="s">
        <v>675</v>
      </c>
    </row>
    <row r="184" spans="1:13" ht="14.25" x14ac:dyDescent="0.2">
      <c r="A184" s="545">
        <v>9688</v>
      </c>
      <c r="B184" s="545">
        <v>1314</v>
      </c>
      <c r="C184" s="551">
        <v>46021</v>
      </c>
      <c r="D184" s="550" t="s">
        <v>453</v>
      </c>
      <c r="E184" s="547">
        <v>9912.82</v>
      </c>
      <c r="F184" s="547">
        <v>0</v>
      </c>
      <c r="G184" s="547">
        <v>0</v>
      </c>
      <c r="H184" s="547">
        <v>0</v>
      </c>
      <c r="I184" s="547">
        <v>0</v>
      </c>
      <c r="J184" s="547">
        <v>0</v>
      </c>
      <c r="K184" s="547">
        <v>0</v>
      </c>
      <c r="L184" s="548">
        <f t="shared" si="3"/>
        <v>9912.82</v>
      </c>
      <c r="M184" s="552" t="s">
        <v>590</v>
      </c>
    </row>
    <row r="185" spans="1:13" ht="14.25" x14ac:dyDescent="0.2">
      <c r="A185" s="545">
        <v>9689</v>
      </c>
      <c r="B185" s="545">
        <v>1315</v>
      </c>
      <c r="C185" s="551">
        <v>46021</v>
      </c>
      <c r="D185" s="550" t="s">
        <v>285</v>
      </c>
      <c r="E185" s="547">
        <v>9802.76</v>
      </c>
      <c r="F185" s="547">
        <v>0</v>
      </c>
      <c r="G185" s="547">
        <v>0</v>
      </c>
      <c r="H185" s="547">
        <v>0</v>
      </c>
      <c r="I185" s="547">
        <v>0</v>
      </c>
      <c r="J185" s="547">
        <v>0</v>
      </c>
      <c r="K185" s="547">
        <v>0</v>
      </c>
      <c r="L185" s="548">
        <f t="shared" si="3"/>
        <v>9802.76</v>
      </c>
      <c r="M185" s="552" t="s">
        <v>653</v>
      </c>
    </row>
    <row r="186" spans="1:13" ht="14.25" x14ac:dyDescent="0.2">
      <c r="A186" s="545">
        <v>9690</v>
      </c>
      <c r="B186" s="545">
        <v>1316</v>
      </c>
      <c r="C186" s="551">
        <v>46021</v>
      </c>
      <c r="D186" s="550" t="s">
        <v>285</v>
      </c>
      <c r="E186" s="547">
        <v>11618.66</v>
      </c>
      <c r="F186" s="547">
        <v>0</v>
      </c>
      <c r="G186" s="547">
        <v>0</v>
      </c>
      <c r="H186" s="547">
        <v>0</v>
      </c>
      <c r="I186" s="547">
        <v>0</v>
      </c>
      <c r="J186" s="547">
        <v>0</v>
      </c>
      <c r="K186" s="547">
        <v>0</v>
      </c>
      <c r="L186" s="548">
        <f t="shared" si="3"/>
        <v>11618.66</v>
      </c>
      <c r="M186" s="552" t="s">
        <v>675</v>
      </c>
    </row>
    <row r="187" spans="1:13" ht="14.25" x14ac:dyDescent="0.2">
      <c r="A187" s="545">
        <v>9691</v>
      </c>
      <c r="B187" s="545">
        <v>1317</v>
      </c>
      <c r="C187" s="551">
        <v>46021</v>
      </c>
      <c r="D187" s="550" t="s">
        <v>454</v>
      </c>
      <c r="E187" s="547">
        <v>0</v>
      </c>
      <c r="F187" s="547">
        <v>870.84</v>
      </c>
      <c r="G187" s="547">
        <v>776</v>
      </c>
      <c r="H187" s="547">
        <v>0</v>
      </c>
      <c r="I187" s="547">
        <v>0</v>
      </c>
      <c r="J187" s="547">
        <v>0</v>
      </c>
      <c r="K187" s="547">
        <v>0</v>
      </c>
      <c r="L187" s="548">
        <f t="shared" si="3"/>
        <v>1646.8400000000001</v>
      </c>
      <c r="M187" s="552" t="s">
        <v>676</v>
      </c>
    </row>
    <row r="188" spans="1:13" ht="14.25" x14ac:dyDescent="0.2">
      <c r="A188" s="545">
        <v>9692</v>
      </c>
      <c r="B188" s="545">
        <v>1318</v>
      </c>
      <c r="C188" s="551">
        <v>46021</v>
      </c>
      <c r="D188" s="550" t="s">
        <v>285</v>
      </c>
      <c r="E188" s="547">
        <v>14077.01</v>
      </c>
      <c r="F188" s="547">
        <v>0</v>
      </c>
      <c r="G188" s="547">
        <v>0</v>
      </c>
      <c r="H188" s="547">
        <v>0</v>
      </c>
      <c r="I188" s="547">
        <v>0</v>
      </c>
      <c r="J188" s="547">
        <v>0</v>
      </c>
      <c r="K188" s="547">
        <v>0</v>
      </c>
      <c r="L188" s="548">
        <f>SUM(E188:K188)</f>
        <v>14077.01</v>
      </c>
      <c r="M188" s="552" t="s">
        <v>677</v>
      </c>
    </row>
    <row r="189" spans="1:13" ht="14.25" x14ac:dyDescent="0.2">
      <c r="A189" s="545">
        <v>9693</v>
      </c>
      <c r="B189" s="545">
        <v>1319</v>
      </c>
      <c r="C189" s="551">
        <v>46021</v>
      </c>
      <c r="D189" s="550" t="s">
        <v>285</v>
      </c>
      <c r="E189" s="547">
        <v>0</v>
      </c>
      <c r="F189" s="547">
        <v>95073</v>
      </c>
      <c r="G189" s="547">
        <v>0</v>
      </c>
      <c r="H189" s="547">
        <v>0</v>
      </c>
      <c r="I189" s="547">
        <v>0</v>
      </c>
      <c r="J189" s="547">
        <v>0</v>
      </c>
      <c r="K189" s="547">
        <v>0</v>
      </c>
      <c r="L189" s="548">
        <f t="shared" si="3"/>
        <v>95073</v>
      </c>
      <c r="M189" s="552" t="s">
        <v>678</v>
      </c>
    </row>
    <row r="190" spans="1:13" s="597" customFormat="1" ht="14.25" x14ac:dyDescent="0.2">
      <c r="A190" s="545">
        <v>9694</v>
      </c>
      <c r="B190" s="545">
        <v>1320</v>
      </c>
      <c r="C190" s="551">
        <v>46021</v>
      </c>
      <c r="D190" s="550" t="s">
        <v>658</v>
      </c>
      <c r="E190" s="547">
        <v>0</v>
      </c>
      <c r="F190" s="547">
        <v>0</v>
      </c>
      <c r="G190" s="547">
        <v>317386.40999999997</v>
      </c>
      <c r="H190" s="547">
        <v>0</v>
      </c>
      <c r="I190" s="547">
        <v>0</v>
      </c>
      <c r="J190" s="547">
        <v>0</v>
      </c>
      <c r="K190" s="547">
        <v>0</v>
      </c>
      <c r="L190" s="548">
        <f t="shared" si="3"/>
        <v>317386.40999999997</v>
      </c>
      <c r="M190" s="552" t="s">
        <v>678</v>
      </c>
    </row>
    <row r="191" spans="1:13" ht="14.25" x14ac:dyDescent="0.2">
      <c r="A191" s="545">
        <v>9695</v>
      </c>
      <c r="B191" s="545">
        <v>1321</v>
      </c>
      <c r="C191" s="551">
        <v>46021</v>
      </c>
      <c r="D191" s="550" t="s">
        <v>679</v>
      </c>
      <c r="E191" s="547">
        <v>0</v>
      </c>
      <c r="F191" s="547">
        <v>0</v>
      </c>
      <c r="G191" s="547">
        <f>1940+1940</f>
        <v>3880</v>
      </c>
      <c r="H191" s="547">
        <v>0</v>
      </c>
      <c r="I191" s="547">
        <v>0</v>
      </c>
      <c r="J191" s="547">
        <v>0</v>
      </c>
      <c r="K191" s="547">
        <v>0</v>
      </c>
      <c r="L191" s="548">
        <f t="shared" si="3"/>
        <v>3880</v>
      </c>
      <c r="M191" s="552" t="s">
        <v>680</v>
      </c>
    </row>
    <row r="192" spans="1:13" ht="14.25" x14ac:dyDescent="0.2">
      <c r="A192" s="545">
        <v>9696</v>
      </c>
      <c r="B192" s="545">
        <v>1322</v>
      </c>
      <c r="C192" s="551">
        <v>46021</v>
      </c>
      <c r="D192" s="550" t="s">
        <v>658</v>
      </c>
      <c r="E192" s="547">
        <v>0</v>
      </c>
      <c r="F192" s="547">
        <v>0</v>
      </c>
      <c r="G192" s="547">
        <v>0</v>
      </c>
      <c r="H192" s="547">
        <v>0</v>
      </c>
      <c r="I192" s="547">
        <v>6594.64</v>
      </c>
      <c r="J192" s="547">
        <v>0</v>
      </c>
      <c r="K192" s="547">
        <v>0</v>
      </c>
      <c r="L192" s="548">
        <f t="shared" si="3"/>
        <v>6594.64</v>
      </c>
      <c r="M192" s="552" t="s">
        <v>678</v>
      </c>
    </row>
    <row r="193" spans="1:13" ht="14.25" x14ac:dyDescent="0.2">
      <c r="A193" s="545">
        <v>9697</v>
      </c>
      <c r="B193" s="545">
        <v>1323</v>
      </c>
      <c r="C193" s="551">
        <v>46021</v>
      </c>
      <c r="D193" s="550" t="s">
        <v>475</v>
      </c>
      <c r="E193" s="547">
        <v>0</v>
      </c>
      <c r="F193" s="547">
        <v>0</v>
      </c>
      <c r="G193" s="547">
        <v>0</v>
      </c>
      <c r="H193" s="547">
        <v>12713.12</v>
      </c>
      <c r="I193" s="547">
        <v>0</v>
      </c>
      <c r="J193" s="547">
        <v>0</v>
      </c>
      <c r="K193" s="547">
        <v>0</v>
      </c>
      <c r="L193" s="548">
        <f t="shared" si="3"/>
        <v>12713.12</v>
      </c>
      <c r="M193" s="552" t="s">
        <v>678</v>
      </c>
    </row>
    <row r="194" spans="1:13" ht="14.25" x14ac:dyDescent="0.2">
      <c r="A194" s="545">
        <v>9698</v>
      </c>
      <c r="B194" s="545">
        <v>1324</v>
      </c>
      <c r="C194" s="551">
        <v>46021</v>
      </c>
      <c r="D194" s="550" t="s">
        <v>456</v>
      </c>
      <c r="E194" s="547">
        <v>0</v>
      </c>
      <c r="F194" s="547">
        <v>0</v>
      </c>
      <c r="G194" s="547">
        <v>0</v>
      </c>
      <c r="H194" s="547">
        <v>8853.6200000000008</v>
      </c>
      <c r="I194" s="547">
        <v>0</v>
      </c>
      <c r="J194" s="547">
        <v>0</v>
      </c>
      <c r="K194" s="547">
        <v>0</v>
      </c>
      <c r="L194" s="548">
        <f t="shared" si="3"/>
        <v>8853.6200000000008</v>
      </c>
      <c r="M194" s="552" t="s">
        <v>681</v>
      </c>
    </row>
    <row r="195" spans="1:13" ht="14.25" x14ac:dyDescent="0.2">
      <c r="A195" s="545">
        <v>9699</v>
      </c>
      <c r="B195" s="545">
        <v>1325</v>
      </c>
      <c r="C195" s="551">
        <v>46021</v>
      </c>
      <c r="D195" s="550" t="s">
        <v>456</v>
      </c>
      <c r="E195" s="547">
        <v>0</v>
      </c>
      <c r="F195" s="547">
        <v>0</v>
      </c>
      <c r="G195" s="547">
        <v>0</v>
      </c>
      <c r="H195" s="547">
        <v>12974.27</v>
      </c>
      <c r="I195" s="547">
        <v>0</v>
      </c>
      <c r="J195" s="547">
        <v>0</v>
      </c>
      <c r="K195" s="547">
        <v>0</v>
      </c>
      <c r="L195" s="548">
        <f t="shared" si="3"/>
        <v>12974.27</v>
      </c>
      <c r="M195" s="552" t="s">
        <v>681</v>
      </c>
    </row>
    <row r="196" spans="1:13" ht="14.25" x14ac:dyDescent="0.2">
      <c r="A196" s="545">
        <v>9700</v>
      </c>
      <c r="B196" s="545">
        <v>1326</v>
      </c>
      <c r="C196" s="551">
        <v>46021</v>
      </c>
      <c r="D196" s="550" t="s">
        <v>456</v>
      </c>
      <c r="E196" s="547">
        <v>0</v>
      </c>
      <c r="F196" s="547">
        <v>0</v>
      </c>
      <c r="G196" s="547">
        <v>0</v>
      </c>
      <c r="H196" s="547">
        <v>8696.85</v>
      </c>
      <c r="I196" s="547">
        <v>0</v>
      </c>
      <c r="J196" s="547">
        <v>0</v>
      </c>
      <c r="K196" s="547">
        <v>0</v>
      </c>
      <c r="L196" s="548">
        <f t="shared" si="3"/>
        <v>8696.85</v>
      </c>
      <c r="M196" s="552" t="s">
        <v>681</v>
      </c>
    </row>
    <row r="197" spans="1:13" ht="14.25" x14ac:dyDescent="0.2">
      <c r="A197" s="545">
        <v>9701</v>
      </c>
      <c r="B197" s="545">
        <v>1327</v>
      </c>
      <c r="C197" s="551">
        <v>46021</v>
      </c>
      <c r="D197" s="550" t="s">
        <v>475</v>
      </c>
      <c r="E197" s="547">
        <v>0</v>
      </c>
      <c r="F197" s="547">
        <v>0</v>
      </c>
      <c r="G197" s="547">
        <v>0</v>
      </c>
      <c r="H197" s="547">
        <v>1239.77</v>
      </c>
      <c r="I197" s="547">
        <v>0</v>
      </c>
      <c r="J197" s="547">
        <v>0</v>
      </c>
      <c r="K197" s="547">
        <v>0</v>
      </c>
      <c r="L197" s="548">
        <f t="shared" si="3"/>
        <v>1239.77</v>
      </c>
      <c r="M197" s="552" t="s">
        <v>682</v>
      </c>
    </row>
    <row r="198" spans="1:13" ht="14.25" x14ac:dyDescent="0.2">
      <c r="A198" s="545">
        <v>9702</v>
      </c>
      <c r="B198" s="545">
        <v>1328</v>
      </c>
      <c r="C198" s="551">
        <v>46021</v>
      </c>
      <c r="D198" s="550" t="s">
        <v>475</v>
      </c>
      <c r="E198" s="547">
        <v>0</v>
      </c>
      <c r="F198" s="547">
        <v>0</v>
      </c>
      <c r="G198" s="547">
        <v>0</v>
      </c>
      <c r="H198" s="547">
        <v>5976.88</v>
      </c>
      <c r="I198" s="547">
        <v>0</v>
      </c>
      <c r="J198" s="547">
        <v>0</v>
      </c>
      <c r="K198" s="547">
        <v>0</v>
      </c>
      <c r="L198" s="548">
        <f t="shared" si="3"/>
        <v>5976.88</v>
      </c>
      <c r="M198" s="552" t="s">
        <v>683</v>
      </c>
    </row>
    <row r="199" spans="1:13" ht="14.25" x14ac:dyDescent="0.2">
      <c r="A199" s="545">
        <v>9703</v>
      </c>
      <c r="B199" s="545">
        <v>1329</v>
      </c>
      <c r="C199" s="551">
        <v>46021</v>
      </c>
      <c r="D199" s="550" t="s">
        <v>622</v>
      </c>
      <c r="E199" s="547">
        <v>0</v>
      </c>
      <c r="F199" s="547">
        <v>0</v>
      </c>
      <c r="G199" s="547">
        <v>0</v>
      </c>
      <c r="H199" s="547">
        <v>154542.1</v>
      </c>
      <c r="I199" s="547">
        <v>0</v>
      </c>
      <c r="J199" s="547">
        <v>0</v>
      </c>
      <c r="K199" s="547">
        <v>0</v>
      </c>
      <c r="L199" s="548">
        <f t="shared" si="3"/>
        <v>154542.1</v>
      </c>
      <c r="M199" s="552" t="s">
        <v>259</v>
      </c>
    </row>
    <row r="200" spans="1:13" ht="14.25" x14ac:dyDescent="0.2">
      <c r="A200" s="545">
        <v>9704</v>
      </c>
      <c r="B200" s="545">
        <v>1330</v>
      </c>
      <c r="C200" s="551">
        <v>46021</v>
      </c>
      <c r="D200" s="550" t="s">
        <v>622</v>
      </c>
      <c r="E200" s="547">
        <v>0</v>
      </c>
      <c r="F200" s="547">
        <v>0</v>
      </c>
      <c r="G200" s="547">
        <v>0</v>
      </c>
      <c r="H200" s="547">
        <v>60931.57</v>
      </c>
      <c r="I200" s="547">
        <v>0</v>
      </c>
      <c r="J200" s="547">
        <v>0</v>
      </c>
      <c r="K200" s="547">
        <v>0</v>
      </c>
      <c r="L200" s="548">
        <f t="shared" si="3"/>
        <v>60931.57</v>
      </c>
      <c r="M200" s="552" t="s">
        <v>259</v>
      </c>
    </row>
    <row r="201" spans="1:13" ht="14.25" x14ac:dyDescent="0.2">
      <c r="A201" s="545">
        <v>9705</v>
      </c>
      <c r="B201" s="545">
        <v>1331</v>
      </c>
      <c r="C201" s="551">
        <v>46021</v>
      </c>
      <c r="D201" s="550" t="s">
        <v>622</v>
      </c>
      <c r="E201" s="547">
        <v>0</v>
      </c>
      <c r="F201" s="547">
        <v>0</v>
      </c>
      <c r="G201" s="547">
        <v>0</v>
      </c>
      <c r="H201" s="547">
        <v>48882.9</v>
      </c>
      <c r="I201" s="547">
        <v>0</v>
      </c>
      <c r="J201" s="547">
        <v>0</v>
      </c>
      <c r="K201" s="547">
        <v>0</v>
      </c>
      <c r="L201" s="548">
        <f t="shared" si="3"/>
        <v>48882.9</v>
      </c>
      <c r="M201" s="552" t="s">
        <v>259</v>
      </c>
    </row>
    <row r="202" spans="1:13" ht="14.25" x14ac:dyDescent="0.2">
      <c r="A202" s="545">
        <v>9706</v>
      </c>
      <c r="B202" s="545">
        <v>1332</v>
      </c>
      <c r="C202" s="551">
        <v>46021</v>
      </c>
      <c r="D202" s="550" t="s">
        <v>622</v>
      </c>
      <c r="E202" s="547">
        <v>0</v>
      </c>
      <c r="F202" s="547">
        <v>0</v>
      </c>
      <c r="G202" s="547">
        <v>0</v>
      </c>
      <c r="H202" s="547">
        <v>16145.69</v>
      </c>
      <c r="I202" s="547">
        <v>0</v>
      </c>
      <c r="J202" s="547">
        <v>0</v>
      </c>
      <c r="K202" s="547">
        <v>0</v>
      </c>
      <c r="L202" s="548">
        <f t="shared" si="3"/>
        <v>16145.69</v>
      </c>
      <c r="M202" s="552" t="s">
        <v>259</v>
      </c>
    </row>
    <row r="203" spans="1:13" ht="14.25" x14ac:dyDescent="0.2">
      <c r="A203" s="545">
        <v>9707</v>
      </c>
      <c r="B203" s="545">
        <v>1333</v>
      </c>
      <c r="C203" s="551">
        <v>46021</v>
      </c>
      <c r="D203" s="550" t="s">
        <v>582</v>
      </c>
      <c r="E203" s="547">
        <v>0</v>
      </c>
      <c r="F203" s="547">
        <v>0</v>
      </c>
      <c r="G203" s="547">
        <v>0</v>
      </c>
      <c r="H203" s="547">
        <v>2064.66</v>
      </c>
      <c r="I203" s="547">
        <v>0</v>
      </c>
      <c r="J203" s="547">
        <v>0</v>
      </c>
      <c r="K203" s="547">
        <v>0</v>
      </c>
      <c r="L203" s="548">
        <f t="shared" si="3"/>
        <v>2064.66</v>
      </c>
      <c r="M203" s="552" t="s">
        <v>684</v>
      </c>
    </row>
    <row r="204" spans="1:13" ht="14.25" x14ac:dyDescent="0.2">
      <c r="A204" s="545">
        <v>9708</v>
      </c>
      <c r="B204" s="545">
        <v>1334</v>
      </c>
      <c r="C204" s="551">
        <v>46021</v>
      </c>
      <c r="D204" s="550" t="s">
        <v>582</v>
      </c>
      <c r="E204" s="547">
        <v>0</v>
      </c>
      <c r="F204" s="547">
        <v>0</v>
      </c>
      <c r="G204" s="547">
        <v>0</v>
      </c>
      <c r="H204" s="547">
        <v>8332.7199999999993</v>
      </c>
      <c r="I204" s="547">
        <v>0</v>
      </c>
      <c r="J204" s="547">
        <v>0</v>
      </c>
      <c r="K204" s="547">
        <v>0</v>
      </c>
      <c r="L204" s="548">
        <f t="shared" si="3"/>
        <v>8332.7199999999993</v>
      </c>
      <c r="M204" s="552" t="s">
        <v>21</v>
      </c>
    </row>
    <row r="205" spans="1:13" ht="14.25" x14ac:dyDescent="0.2">
      <c r="A205" s="545">
        <v>9709</v>
      </c>
      <c r="B205" s="545">
        <v>1335</v>
      </c>
      <c r="C205" s="551">
        <v>46021</v>
      </c>
      <c r="D205" s="550" t="s">
        <v>582</v>
      </c>
      <c r="E205" s="547">
        <v>0</v>
      </c>
      <c r="F205" s="547">
        <v>0</v>
      </c>
      <c r="G205" s="547">
        <v>0</v>
      </c>
      <c r="H205" s="547">
        <v>64.05</v>
      </c>
      <c r="I205" s="547">
        <v>0</v>
      </c>
      <c r="J205" s="547">
        <v>0</v>
      </c>
      <c r="K205" s="547">
        <v>0</v>
      </c>
      <c r="L205" s="548">
        <f t="shared" si="3"/>
        <v>64.05</v>
      </c>
      <c r="M205" s="552" t="s">
        <v>21</v>
      </c>
    </row>
    <row r="206" spans="1:13" ht="14.25" x14ac:dyDescent="0.2">
      <c r="A206" s="545">
        <v>9710</v>
      </c>
      <c r="B206" s="545">
        <v>1336</v>
      </c>
      <c r="C206" s="551">
        <v>46021</v>
      </c>
      <c r="D206" s="550" t="s">
        <v>582</v>
      </c>
      <c r="E206" s="547">
        <v>0</v>
      </c>
      <c r="F206" s="547">
        <v>0</v>
      </c>
      <c r="G206" s="547">
        <v>0</v>
      </c>
      <c r="H206" s="547">
        <v>33.979999999999997</v>
      </c>
      <c r="I206" s="547">
        <v>0</v>
      </c>
      <c r="J206" s="547">
        <v>0</v>
      </c>
      <c r="K206" s="547">
        <v>0</v>
      </c>
      <c r="L206" s="548">
        <f t="shared" si="3"/>
        <v>33.979999999999997</v>
      </c>
      <c r="M206" s="552" t="s">
        <v>21</v>
      </c>
    </row>
    <row r="207" spans="1:13" ht="14.25" x14ac:dyDescent="0.2">
      <c r="A207" s="545">
        <v>9711</v>
      </c>
      <c r="B207" s="545">
        <v>1337</v>
      </c>
      <c r="C207" s="551">
        <v>46021</v>
      </c>
      <c r="D207" s="550" t="s">
        <v>582</v>
      </c>
      <c r="E207" s="547">
        <v>0</v>
      </c>
      <c r="F207" s="547">
        <v>0</v>
      </c>
      <c r="G207" s="547">
        <v>0</v>
      </c>
      <c r="H207" s="547">
        <v>13753.38</v>
      </c>
      <c r="I207" s="547">
        <v>0</v>
      </c>
      <c r="J207" s="547">
        <v>0</v>
      </c>
      <c r="K207" s="547">
        <v>0</v>
      </c>
      <c r="L207" s="548">
        <f t="shared" si="3"/>
        <v>13753.38</v>
      </c>
      <c r="M207" s="552" t="s">
        <v>21</v>
      </c>
    </row>
    <row r="208" spans="1:13" ht="14.25" x14ac:dyDescent="0.2">
      <c r="A208" s="545">
        <v>9712</v>
      </c>
      <c r="B208" s="545">
        <v>1338</v>
      </c>
      <c r="C208" s="551">
        <v>46021</v>
      </c>
      <c r="D208" s="550" t="s">
        <v>582</v>
      </c>
      <c r="E208" s="547">
        <v>0</v>
      </c>
      <c r="F208" s="547">
        <v>0</v>
      </c>
      <c r="G208" s="547">
        <v>0</v>
      </c>
      <c r="H208" s="547">
        <v>6488.47</v>
      </c>
      <c r="I208" s="547">
        <v>0</v>
      </c>
      <c r="J208" s="547">
        <v>0</v>
      </c>
      <c r="K208" s="547">
        <v>0</v>
      </c>
      <c r="L208" s="548">
        <f t="shared" si="3"/>
        <v>6488.47</v>
      </c>
      <c r="M208" s="552" t="s">
        <v>457</v>
      </c>
    </row>
    <row r="209" spans="1:13" ht="14.25" x14ac:dyDescent="0.2">
      <c r="A209" s="545">
        <v>9713</v>
      </c>
      <c r="B209" s="545">
        <v>1339</v>
      </c>
      <c r="C209" s="551">
        <v>46021</v>
      </c>
      <c r="D209" s="550" t="s">
        <v>582</v>
      </c>
      <c r="E209" s="547">
        <v>0</v>
      </c>
      <c r="F209" s="547">
        <v>0</v>
      </c>
      <c r="G209" s="547">
        <v>0</v>
      </c>
      <c r="H209" s="547">
        <v>4454.58</v>
      </c>
      <c r="I209" s="547">
        <v>0</v>
      </c>
      <c r="J209" s="547">
        <v>0</v>
      </c>
      <c r="K209" s="547">
        <v>0</v>
      </c>
      <c r="L209" s="548">
        <f t="shared" si="3"/>
        <v>4454.58</v>
      </c>
      <c r="M209" s="552" t="s">
        <v>21</v>
      </c>
    </row>
    <row r="210" spans="1:13" ht="14.25" x14ac:dyDescent="0.2">
      <c r="A210" s="545">
        <v>9714</v>
      </c>
      <c r="B210" s="545">
        <v>1340</v>
      </c>
      <c r="C210" s="551">
        <v>46021</v>
      </c>
      <c r="D210" s="550" t="s">
        <v>582</v>
      </c>
      <c r="E210" s="547">
        <v>0</v>
      </c>
      <c r="F210" s="547">
        <v>0</v>
      </c>
      <c r="G210" s="547">
        <v>0</v>
      </c>
      <c r="H210" s="547">
        <v>276.67</v>
      </c>
      <c r="I210" s="547">
        <v>0</v>
      </c>
      <c r="J210" s="547">
        <v>0</v>
      </c>
      <c r="K210" s="547">
        <v>0</v>
      </c>
      <c r="L210" s="548">
        <f t="shared" si="3"/>
        <v>276.67</v>
      </c>
      <c r="M210" s="552" t="s">
        <v>457</v>
      </c>
    </row>
    <row r="211" spans="1:13" ht="14.25" x14ac:dyDescent="0.2">
      <c r="A211" s="545">
        <v>9715</v>
      </c>
      <c r="B211" s="545">
        <v>1341</v>
      </c>
      <c r="C211" s="551">
        <v>46021</v>
      </c>
      <c r="D211" s="550" t="s">
        <v>582</v>
      </c>
      <c r="E211" s="547">
        <v>0</v>
      </c>
      <c r="F211" s="547">
        <v>0</v>
      </c>
      <c r="G211" s="547">
        <v>0</v>
      </c>
      <c r="H211" s="547">
        <v>2874.35</v>
      </c>
      <c r="I211" s="547">
        <v>0</v>
      </c>
      <c r="J211" s="547">
        <v>0</v>
      </c>
      <c r="K211" s="547">
        <v>0</v>
      </c>
      <c r="L211" s="548">
        <f t="shared" si="3"/>
        <v>2874.35</v>
      </c>
      <c r="M211" s="552" t="s">
        <v>457</v>
      </c>
    </row>
    <row r="212" spans="1:13" ht="14.25" x14ac:dyDescent="0.2">
      <c r="A212" s="545">
        <v>9716</v>
      </c>
      <c r="B212" s="545">
        <v>1342</v>
      </c>
      <c r="C212" s="551">
        <v>46021</v>
      </c>
      <c r="D212" s="550" t="s">
        <v>582</v>
      </c>
      <c r="E212" s="547">
        <v>0</v>
      </c>
      <c r="F212" s="547">
        <v>0</v>
      </c>
      <c r="G212" s="547">
        <v>0</v>
      </c>
      <c r="H212" s="547">
        <v>51.51</v>
      </c>
      <c r="I212" s="547">
        <v>0</v>
      </c>
      <c r="J212" s="547">
        <v>0</v>
      </c>
      <c r="K212" s="547">
        <v>0</v>
      </c>
      <c r="L212" s="548">
        <f t="shared" si="3"/>
        <v>51.51</v>
      </c>
      <c r="M212" s="552" t="s">
        <v>457</v>
      </c>
    </row>
    <row r="213" spans="1:13" ht="14.25" x14ac:dyDescent="0.2">
      <c r="A213" s="545">
        <v>9717</v>
      </c>
      <c r="B213" s="545">
        <v>1343</v>
      </c>
      <c r="C213" s="551">
        <v>46021</v>
      </c>
      <c r="D213" s="550" t="s">
        <v>582</v>
      </c>
      <c r="E213" s="547">
        <v>0</v>
      </c>
      <c r="F213" s="547">
        <v>0</v>
      </c>
      <c r="G213" s="547">
        <v>0</v>
      </c>
      <c r="H213" s="547">
        <v>2206.0700000000002</v>
      </c>
      <c r="I213" s="547">
        <v>0</v>
      </c>
      <c r="J213" s="547">
        <v>0</v>
      </c>
      <c r="K213" s="547">
        <v>0</v>
      </c>
      <c r="L213" s="548">
        <f t="shared" si="3"/>
        <v>2206.0700000000002</v>
      </c>
      <c r="M213" s="552" t="s">
        <v>21</v>
      </c>
    </row>
    <row r="214" spans="1:13" ht="14.25" x14ac:dyDescent="0.2">
      <c r="A214" s="545">
        <v>9718</v>
      </c>
      <c r="B214" s="545">
        <v>1344</v>
      </c>
      <c r="C214" s="551">
        <v>46022</v>
      </c>
      <c r="D214" s="550" t="s">
        <v>473</v>
      </c>
      <c r="E214" s="547">
        <v>0</v>
      </c>
      <c r="F214" s="547">
        <v>0</v>
      </c>
      <c r="G214" s="547">
        <f>776*2</f>
        <v>1552</v>
      </c>
      <c r="H214" s="547">
        <v>41.3</v>
      </c>
      <c r="I214" s="547">
        <v>0</v>
      </c>
      <c r="J214" s="547">
        <v>0</v>
      </c>
      <c r="K214" s="547">
        <v>0</v>
      </c>
      <c r="L214" s="548">
        <f>SUM(E214:K214)</f>
        <v>1593.3</v>
      </c>
      <c r="M214" s="552" t="s">
        <v>492</v>
      </c>
    </row>
    <row r="215" spans="1:13" ht="14.25" x14ac:dyDescent="0.2">
      <c r="A215" s="545">
        <v>9719</v>
      </c>
      <c r="B215" s="545">
        <v>1345</v>
      </c>
      <c r="C215" s="551">
        <v>46022</v>
      </c>
      <c r="D215" s="550" t="s">
        <v>473</v>
      </c>
      <c r="E215" s="547">
        <v>0</v>
      </c>
      <c r="F215" s="547">
        <v>0</v>
      </c>
      <c r="G215" s="547">
        <v>1552</v>
      </c>
      <c r="H215" s="547">
        <v>0</v>
      </c>
      <c r="I215" s="547">
        <v>0</v>
      </c>
      <c r="J215" s="547">
        <v>0</v>
      </c>
      <c r="K215" s="547">
        <v>0</v>
      </c>
      <c r="L215" s="548">
        <f t="shared" ref="L215:L239" si="4">SUM(E215:K215)</f>
        <v>1552</v>
      </c>
      <c r="M215" s="552" t="s">
        <v>605</v>
      </c>
    </row>
    <row r="216" spans="1:13" ht="14.25" x14ac:dyDescent="0.2">
      <c r="A216" s="545">
        <v>9720</v>
      </c>
      <c r="B216" s="545">
        <v>1346</v>
      </c>
      <c r="C216" s="551">
        <v>46022</v>
      </c>
      <c r="D216" s="550" t="s">
        <v>473</v>
      </c>
      <c r="E216" s="547">
        <v>0</v>
      </c>
      <c r="F216" s="547">
        <v>968.87</v>
      </c>
      <c r="G216" s="547">
        <v>1552</v>
      </c>
      <c r="H216" s="547">
        <v>330.4</v>
      </c>
      <c r="I216" s="547">
        <v>0</v>
      </c>
      <c r="J216" s="547">
        <v>0</v>
      </c>
      <c r="K216" s="547">
        <v>0</v>
      </c>
      <c r="L216" s="548">
        <f t="shared" si="4"/>
        <v>2851.27</v>
      </c>
      <c r="M216" s="552" t="s">
        <v>427</v>
      </c>
    </row>
    <row r="217" spans="1:13" ht="14.25" x14ac:dyDescent="0.2">
      <c r="A217" s="545">
        <v>9721</v>
      </c>
      <c r="B217" s="545">
        <v>1347</v>
      </c>
      <c r="C217" s="551">
        <v>46022</v>
      </c>
      <c r="D217" s="550" t="s">
        <v>473</v>
      </c>
      <c r="E217" s="547">
        <v>0</v>
      </c>
      <c r="F217" s="547">
        <v>874.81</v>
      </c>
      <c r="G217" s="547">
        <f>799.77+776+776</f>
        <v>2351.77</v>
      </c>
      <c r="H217" s="547">
        <f>1404.2+1052.64+206.5</f>
        <v>2663.34</v>
      </c>
      <c r="I217" s="547">
        <v>0</v>
      </c>
      <c r="J217" s="547">
        <v>0</v>
      </c>
      <c r="K217" s="547">
        <v>0</v>
      </c>
      <c r="L217" s="548">
        <f t="shared" si="4"/>
        <v>5889.92</v>
      </c>
      <c r="M217" s="552" t="s">
        <v>685</v>
      </c>
    </row>
    <row r="218" spans="1:13" ht="14.25" x14ac:dyDescent="0.2">
      <c r="A218" s="545">
        <v>9722</v>
      </c>
      <c r="B218" s="545">
        <v>1348</v>
      </c>
      <c r="C218" s="551">
        <v>46022</v>
      </c>
      <c r="D218" s="550" t="s">
        <v>473</v>
      </c>
      <c r="E218" s="547">
        <v>0</v>
      </c>
      <c r="F218" s="547">
        <v>968.87</v>
      </c>
      <c r="G218" s="547">
        <v>1552</v>
      </c>
      <c r="H218" s="547">
        <v>702.1</v>
      </c>
      <c r="I218" s="547">
        <v>0</v>
      </c>
      <c r="J218" s="547">
        <v>0</v>
      </c>
      <c r="K218" s="547">
        <v>0</v>
      </c>
      <c r="L218" s="548">
        <f t="shared" si="4"/>
        <v>3222.97</v>
      </c>
      <c r="M218" s="552" t="s">
        <v>487</v>
      </c>
    </row>
    <row r="219" spans="1:13" ht="14.25" x14ac:dyDescent="0.2">
      <c r="A219" s="545">
        <v>9723</v>
      </c>
      <c r="B219" s="545">
        <v>1349</v>
      </c>
      <c r="C219" s="551">
        <v>46022</v>
      </c>
      <c r="D219" s="550" t="s">
        <v>473</v>
      </c>
      <c r="E219" s="547">
        <v>0</v>
      </c>
      <c r="F219" s="547">
        <v>463.68</v>
      </c>
      <c r="G219" s="547">
        <v>1552</v>
      </c>
      <c r="H219" s="547">
        <f>123.9+712.08</f>
        <v>835.98</v>
      </c>
      <c r="I219" s="547">
        <v>0</v>
      </c>
      <c r="J219" s="547">
        <v>0</v>
      </c>
      <c r="K219" s="547">
        <v>0</v>
      </c>
      <c r="L219" s="548">
        <f t="shared" si="4"/>
        <v>2851.66</v>
      </c>
      <c r="M219" s="552" t="s">
        <v>371</v>
      </c>
    </row>
    <row r="220" spans="1:13" ht="14.25" x14ac:dyDescent="0.2">
      <c r="A220" s="545">
        <v>9724</v>
      </c>
      <c r="B220" s="545">
        <v>1350</v>
      </c>
      <c r="C220" s="551">
        <v>46022</v>
      </c>
      <c r="D220" s="550" t="s">
        <v>453</v>
      </c>
      <c r="E220" s="547">
        <v>0</v>
      </c>
      <c r="F220" s="547">
        <v>0</v>
      </c>
      <c r="G220" s="547">
        <v>776</v>
      </c>
      <c r="H220" s="547">
        <v>330.4</v>
      </c>
      <c r="I220" s="547">
        <v>0</v>
      </c>
      <c r="J220" s="547">
        <v>0</v>
      </c>
      <c r="K220" s="547">
        <v>0</v>
      </c>
      <c r="L220" s="548">
        <f t="shared" si="4"/>
        <v>1106.4000000000001</v>
      </c>
      <c r="M220" s="552" t="s">
        <v>451</v>
      </c>
    </row>
    <row r="221" spans="1:13" ht="14.25" x14ac:dyDescent="0.2">
      <c r="A221" s="545">
        <v>9725</v>
      </c>
      <c r="B221" s="545">
        <v>1351</v>
      </c>
      <c r="C221" s="551">
        <v>46022</v>
      </c>
      <c r="D221" s="550" t="s">
        <v>473</v>
      </c>
      <c r="E221" s="547">
        <v>0</v>
      </c>
      <c r="F221" s="547">
        <v>870.84</v>
      </c>
      <c r="G221" s="547">
        <v>776</v>
      </c>
      <c r="H221" s="547">
        <v>0</v>
      </c>
      <c r="I221" s="547">
        <v>0</v>
      </c>
      <c r="J221" s="547">
        <v>0</v>
      </c>
      <c r="K221" s="547">
        <v>0</v>
      </c>
      <c r="L221" s="548">
        <f t="shared" si="4"/>
        <v>1646.8400000000001</v>
      </c>
      <c r="M221" s="552" t="s">
        <v>451</v>
      </c>
    </row>
    <row r="222" spans="1:13" ht="14.25" x14ac:dyDescent="0.2">
      <c r="A222" s="545">
        <v>9726</v>
      </c>
      <c r="B222" s="545">
        <v>1352</v>
      </c>
      <c r="C222" s="551">
        <v>46022</v>
      </c>
      <c r="D222" s="550" t="s">
        <v>453</v>
      </c>
      <c r="E222" s="547">
        <v>0</v>
      </c>
      <c r="F222" s="547">
        <v>0</v>
      </c>
      <c r="G222" s="547">
        <v>1552</v>
      </c>
      <c r="H222" s="547">
        <v>247.8</v>
      </c>
      <c r="I222" s="547">
        <v>0</v>
      </c>
      <c r="J222" s="547">
        <v>0</v>
      </c>
      <c r="K222" s="547">
        <v>0</v>
      </c>
      <c r="L222" s="548">
        <f t="shared" si="4"/>
        <v>1799.8</v>
      </c>
      <c r="M222" s="552" t="s">
        <v>482</v>
      </c>
    </row>
    <row r="223" spans="1:13" ht="14.25" x14ac:dyDescent="0.2">
      <c r="A223" s="545">
        <v>9727</v>
      </c>
      <c r="B223" s="545">
        <v>1353</v>
      </c>
      <c r="C223" s="551">
        <v>46022</v>
      </c>
      <c r="D223" s="550" t="s">
        <v>453</v>
      </c>
      <c r="E223" s="547">
        <v>0</v>
      </c>
      <c r="F223" s="547">
        <v>874.81</v>
      </c>
      <c r="G223" s="547">
        <f>776+1990.9</f>
        <v>2766.9</v>
      </c>
      <c r="H223" s="547">
        <v>123.9</v>
      </c>
      <c r="I223" s="547">
        <v>0</v>
      </c>
      <c r="J223" s="547">
        <v>0</v>
      </c>
      <c r="K223" s="547">
        <v>0</v>
      </c>
      <c r="L223" s="548">
        <f t="shared" si="4"/>
        <v>3765.61</v>
      </c>
      <c r="M223" s="552" t="s">
        <v>686</v>
      </c>
    </row>
    <row r="224" spans="1:13" ht="14.25" x14ac:dyDescent="0.2">
      <c r="A224" s="545">
        <v>9728</v>
      </c>
      <c r="B224" s="545">
        <v>1354</v>
      </c>
      <c r="C224" s="551">
        <v>46022</v>
      </c>
      <c r="D224" s="550" t="s">
        <v>453</v>
      </c>
      <c r="E224" s="547">
        <v>0</v>
      </c>
      <c r="F224" s="547">
        <v>870.84</v>
      </c>
      <c r="G224" s="547">
        <f>776*3</f>
        <v>2328</v>
      </c>
      <c r="H224" s="547">
        <f>619.5+41.3</f>
        <v>660.8</v>
      </c>
      <c r="I224" s="547">
        <v>0</v>
      </c>
      <c r="J224" s="547">
        <v>0</v>
      </c>
      <c r="K224" s="547">
        <v>0</v>
      </c>
      <c r="L224" s="548">
        <f t="shared" si="4"/>
        <v>3859.6400000000003</v>
      </c>
      <c r="M224" s="552" t="s">
        <v>488</v>
      </c>
    </row>
    <row r="225" spans="1:13" ht="14.25" x14ac:dyDescent="0.2">
      <c r="A225" s="545">
        <v>9729</v>
      </c>
      <c r="B225" s="545">
        <v>1355</v>
      </c>
      <c r="C225" s="551">
        <v>46022</v>
      </c>
      <c r="D225" s="550" t="s">
        <v>453</v>
      </c>
      <c r="E225" s="547">
        <v>0</v>
      </c>
      <c r="F225" s="547">
        <v>870.84</v>
      </c>
      <c r="G225" s="547">
        <f>776*3</f>
        <v>2328</v>
      </c>
      <c r="H225" s="547">
        <f>82.6+247.8</f>
        <v>330.4</v>
      </c>
      <c r="I225" s="547">
        <v>0</v>
      </c>
      <c r="J225" s="547">
        <v>0</v>
      </c>
      <c r="K225" s="547">
        <v>0</v>
      </c>
      <c r="L225" s="548">
        <f t="shared" si="4"/>
        <v>3529.2400000000002</v>
      </c>
      <c r="M225" s="552" t="s">
        <v>479</v>
      </c>
    </row>
    <row r="226" spans="1:13" ht="14.25" x14ac:dyDescent="0.2">
      <c r="A226" s="545">
        <v>9730</v>
      </c>
      <c r="B226" s="545">
        <v>1356</v>
      </c>
      <c r="C226" s="551">
        <v>46022</v>
      </c>
      <c r="D226" s="550" t="s">
        <v>453</v>
      </c>
      <c r="E226" s="547">
        <v>0</v>
      </c>
      <c r="F226" s="547">
        <v>968.87</v>
      </c>
      <c r="G226" s="547">
        <v>776</v>
      </c>
      <c r="H226" s="547">
        <v>0</v>
      </c>
      <c r="I226" s="547">
        <v>0</v>
      </c>
      <c r="J226" s="547">
        <v>0</v>
      </c>
      <c r="K226" s="547">
        <v>0</v>
      </c>
      <c r="L226" s="548">
        <f t="shared" si="4"/>
        <v>1744.87</v>
      </c>
      <c r="M226" s="552" t="s">
        <v>662</v>
      </c>
    </row>
    <row r="227" spans="1:13" ht="14.25" x14ac:dyDescent="0.2">
      <c r="A227" s="545">
        <v>9731</v>
      </c>
      <c r="B227" s="545">
        <v>1357</v>
      </c>
      <c r="C227" s="551">
        <v>46022</v>
      </c>
      <c r="D227" s="550" t="s">
        <v>453</v>
      </c>
      <c r="E227" s="547">
        <v>0</v>
      </c>
      <c r="F227" s="547">
        <v>870.84</v>
      </c>
      <c r="G227" s="547">
        <v>776</v>
      </c>
      <c r="H227" s="547">
        <v>0</v>
      </c>
      <c r="I227" s="547">
        <v>0</v>
      </c>
      <c r="J227" s="547">
        <v>0</v>
      </c>
      <c r="K227" s="547">
        <v>0</v>
      </c>
      <c r="L227" s="548">
        <f t="shared" si="4"/>
        <v>1646.8400000000001</v>
      </c>
      <c r="M227" s="552" t="s">
        <v>686</v>
      </c>
    </row>
    <row r="228" spans="1:13" ht="14.25" x14ac:dyDescent="0.2">
      <c r="A228" s="545">
        <v>9732</v>
      </c>
      <c r="B228" s="545">
        <v>1358</v>
      </c>
      <c r="C228" s="551">
        <v>46022</v>
      </c>
      <c r="D228" s="550" t="s">
        <v>477</v>
      </c>
      <c r="E228" s="547">
        <v>0</v>
      </c>
      <c r="F228" s="547">
        <v>465</v>
      </c>
      <c r="G228" s="547">
        <v>1552</v>
      </c>
      <c r="H228" s="547">
        <v>247.8</v>
      </c>
      <c r="I228" s="547">
        <v>0</v>
      </c>
      <c r="J228" s="547">
        <v>0</v>
      </c>
      <c r="K228" s="547">
        <v>0</v>
      </c>
      <c r="L228" s="548">
        <f t="shared" si="4"/>
        <v>2264.8000000000002</v>
      </c>
      <c r="M228" s="552" t="s">
        <v>687</v>
      </c>
    </row>
    <row r="229" spans="1:13" ht="14.25" x14ac:dyDescent="0.2">
      <c r="A229" s="545">
        <v>9733</v>
      </c>
      <c r="B229" s="545">
        <v>1359</v>
      </c>
      <c r="C229" s="551">
        <v>46022</v>
      </c>
      <c r="D229" s="550" t="s">
        <v>453</v>
      </c>
      <c r="E229" s="547">
        <v>0</v>
      </c>
      <c r="F229" s="547">
        <v>927.36</v>
      </c>
      <c r="G229" s="547">
        <v>0</v>
      </c>
      <c r="H229" s="547">
        <v>0</v>
      </c>
      <c r="I229" s="547">
        <v>0</v>
      </c>
      <c r="J229" s="547">
        <v>0</v>
      </c>
      <c r="K229" s="547">
        <v>0</v>
      </c>
      <c r="L229" s="548">
        <f t="shared" si="4"/>
        <v>927.36</v>
      </c>
      <c r="M229" s="552" t="s">
        <v>489</v>
      </c>
    </row>
    <row r="230" spans="1:13" ht="14.25" x14ac:dyDescent="0.2">
      <c r="A230" s="545">
        <v>9734</v>
      </c>
      <c r="B230" s="545">
        <v>1360</v>
      </c>
      <c r="C230" s="551">
        <v>46022</v>
      </c>
      <c r="D230" s="550" t="s">
        <v>285</v>
      </c>
      <c r="E230" s="547">
        <v>0</v>
      </c>
      <c r="F230" s="547">
        <v>874.37</v>
      </c>
      <c r="G230" s="547">
        <v>0</v>
      </c>
      <c r="H230" s="547">
        <v>0</v>
      </c>
      <c r="I230" s="547">
        <v>0</v>
      </c>
      <c r="J230" s="547">
        <v>0</v>
      </c>
      <c r="K230" s="547">
        <v>0</v>
      </c>
      <c r="L230" s="548">
        <f t="shared" si="4"/>
        <v>874.37</v>
      </c>
      <c r="M230" s="552" t="s">
        <v>663</v>
      </c>
    </row>
    <row r="231" spans="1:13" ht="14.25" x14ac:dyDescent="0.2">
      <c r="A231" s="545">
        <v>9735</v>
      </c>
      <c r="B231" s="545">
        <v>1361</v>
      </c>
      <c r="C231" s="551">
        <v>46022</v>
      </c>
      <c r="D231" s="550" t="s">
        <v>453</v>
      </c>
      <c r="E231" s="547">
        <v>0</v>
      </c>
      <c r="F231" s="547">
        <v>870.84</v>
      </c>
      <c r="G231" s="547">
        <v>776</v>
      </c>
      <c r="H231" s="547">
        <v>0</v>
      </c>
      <c r="I231" s="547">
        <v>0</v>
      </c>
      <c r="J231" s="547">
        <v>0</v>
      </c>
      <c r="K231" s="547">
        <v>0</v>
      </c>
      <c r="L231" s="548">
        <f t="shared" si="4"/>
        <v>1646.8400000000001</v>
      </c>
      <c r="M231" s="552" t="s">
        <v>480</v>
      </c>
    </row>
    <row r="232" spans="1:13" ht="14.25" x14ac:dyDescent="0.2">
      <c r="A232" s="545">
        <v>9736</v>
      </c>
      <c r="B232" s="545">
        <v>1362</v>
      </c>
      <c r="C232" s="551">
        <v>46022</v>
      </c>
      <c r="D232" s="550" t="s">
        <v>473</v>
      </c>
      <c r="E232" s="547">
        <v>0</v>
      </c>
      <c r="F232" s="547">
        <v>968.87</v>
      </c>
      <c r="G232" s="547">
        <v>776</v>
      </c>
      <c r="H232" s="547">
        <v>0</v>
      </c>
      <c r="I232" s="547">
        <v>0</v>
      </c>
      <c r="J232" s="547">
        <v>0</v>
      </c>
      <c r="K232" s="547">
        <v>0</v>
      </c>
      <c r="L232" s="548">
        <f t="shared" si="4"/>
        <v>1744.87</v>
      </c>
      <c r="M232" s="552" t="s">
        <v>688</v>
      </c>
    </row>
    <row r="233" spans="1:13" ht="14.25" x14ac:dyDescent="0.2">
      <c r="A233" s="545">
        <v>9737</v>
      </c>
      <c r="B233" s="545">
        <v>1363</v>
      </c>
      <c r="C233" s="551">
        <v>46022</v>
      </c>
      <c r="D233" s="550" t="s">
        <v>285</v>
      </c>
      <c r="E233" s="547">
        <v>0</v>
      </c>
      <c r="F233" s="547">
        <v>900.86</v>
      </c>
      <c r="G233" s="547">
        <v>0</v>
      </c>
      <c r="H233" s="547">
        <v>0</v>
      </c>
      <c r="I233" s="547">
        <v>0</v>
      </c>
      <c r="J233" s="547">
        <v>0</v>
      </c>
      <c r="K233" s="547">
        <v>0</v>
      </c>
      <c r="L233" s="548">
        <f t="shared" si="4"/>
        <v>900.86</v>
      </c>
      <c r="M233" s="552" t="s">
        <v>599</v>
      </c>
    </row>
    <row r="234" spans="1:13" ht="14.25" x14ac:dyDescent="0.2">
      <c r="A234" s="545">
        <v>9738</v>
      </c>
      <c r="B234" s="545">
        <v>1364</v>
      </c>
      <c r="C234" s="551">
        <v>46022</v>
      </c>
      <c r="D234" s="550" t="s">
        <v>473</v>
      </c>
      <c r="E234" s="547">
        <v>0</v>
      </c>
      <c r="F234" s="547">
        <v>870.84</v>
      </c>
      <c r="G234" s="547">
        <f>776+780.01</f>
        <v>1556.01</v>
      </c>
      <c r="H234" s="547">
        <f>2354.1+1764.72</f>
        <v>4118.82</v>
      </c>
      <c r="I234" s="547">
        <v>0</v>
      </c>
      <c r="J234" s="547">
        <v>0</v>
      </c>
      <c r="K234" s="547">
        <v>0</v>
      </c>
      <c r="L234" s="548">
        <f t="shared" si="4"/>
        <v>6545.67</v>
      </c>
      <c r="M234" s="552" t="s">
        <v>426</v>
      </c>
    </row>
    <row r="235" spans="1:13" ht="14.25" x14ac:dyDescent="0.2">
      <c r="A235" s="545">
        <v>9739</v>
      </c>
      <c r="B235" s="545">
        <v>1365</v>
      </c>
      <c r="C235" s="551">
        <v>46022</v>
      </c>
      <c r="D235" s="550" t="s">
        <v>475</v>
      </c>
      <c r="E235" s="547">
        <v>0</v>
      </c>
      <c r="F235" s="547">
        <v>0</v>
      </c>
      <c r="G235" s="547">
        <v>0</v>
      </c>
      <c r="H235" s="547">
        <v>0</v>
      </c>
      <c r="I235" s="547">
        <v>0</v>
      </c>
      <c r="J235" s="547">
        <v>0</v>
      </c>
      <c r="K235" s="547">
        <v>7049.1</v>
      </c>
      <c r="L235" s="548">
        <f t="shared" si="4"/>
        <v>7049.1</v>
      </c>
      <c r="M235" s="552" t="s">
        <v>689</v>
      </c>
    </row>
    <row r="236" spans="1:13" ht="14.25" x14ac:dyDescent="0.2">
      <c r="A236" s="545">
        <v>9740</v>
      </c>
      <c r="B236" s="545">
        <v>1366</v>
      </c>
      <c r="C236" s="551">
        <v>46022</v>
      </c>
      <c r="D236" s="550" t="s">
        <v>582</v>
      </c>
      <c r="E236" s="547">
        <v>0</v>
      </c>
      <c r="F236" s="547">
        <v>0</v>
      </c>
      <c r="G236" s="547">
        <v>0</v>
      </c>
      <c r="H236" s="547">
        <v>0</v>
      </c>
      <c r="I236" s="547">
        <v>0</v>
      </c>
      <c r="J236" s="547">
        <v>0</v>
      </c>
      <c r="K236" s="547">
        <v>22269.47</v>
      </c>
      <c r="L236" s="548">
        <f t="shared" si="4"/>
        <v>22269.47</v>
      </c>
      <c r="M236" s="552" t="s">
        <v>689</v>
      </c>
    </row>
    <row r="237" spans="1:13" ht="14.25" x14ac:dyDescent="0.2">
      <c r="A237" s="545">
        <v>9741</v>
      </c>
      <c r="B237" s="545">
        <v>1367</v>
      </c>
      <c r="C237" s="551">
        <v>46022</v>
      </c>
      <c r="D237" s="550" t="s">
        <v>622</v>
      </c>
      <c r="E237" s="547">
        <v>0</v>
      </c>
      <c r="F237" s="547">
        <v>0</v>
      </c>
      <c r="G237" s="547">
        <v>0</v>
      </c>
      <c r="H237" s="547">
        <v>0</v>
      </c>
      <c r="I237" s="547">
        <v>0</v>
      </c>
      <c r="J237" s="547">
        <v>0</v>
      </c>
      <c r="K237" s="547">
        <v>11873.85</v>
      </c>
      <c r="L237" s="548">
        <f t="shared" si="4"/>
        <v>11873.85</v>
      </c>
      <c r="M237" s="552" t="s">
        <v>689</v>
      </c>
    </row>
    <row r="238" spans="1:13" ht="14.25" x14ac:dyDescent="0.2">
      <c r="A238" s="545">
        <v>9742</v>
      </c>
      <c r="B238" s="545">
        <v>1368</v>
      </c>
      <c r="C238" s="551">
        <v>46022</v>
      </c>
      <c r="D238" s="550" t="s">
        <v>456</v>
      </c>
      <c r="E238" s="547">
        <v>0</v>
      </c>
      <c r="F238" s="547">
        <v>0</v>
      </c>
      <c r="G238" s="547">
        <v>0</v>
      </c>
      <c r="H238" s="547">
        <v>0</v>
      </c>
      <c r="I238" s="547">
        <v>0</v>
      </c>
      <c r="J238" s="547">
        <v>0</v>
      </c>
      <c r="K238" s="547">
        <v>20745.95</v>
      </c>
      <c r="L238" s="548">
        <f t="shared" si="4"/>
        <v>20745.95</v>
      </c>
      <c r="M238" s="552" t="s">
        <v>689</v>
      </c>
    </row>
    <row r="239" spans="1:13" ht="14.25" x14ac:dyDescent="0.2">
      <c r="A239" s="545">
        <v>9743</v>
      </c>
      <c r="B239" s="545">
        <v>1369</v>
      </c>
      <c r="C239" s="551">
        <v>46022</v>
      </c>
      <c r="D239" s="550" t="s">
        <v>339</v>
      </c>
      <c r="E239" s="547">
        <v>0</v>
      </c>
      <c r="F239" s="547">
        <v>0</v>
      </c>
      <c r="G239" s="547">
        <v>0</v>
      </c>
      <c r="H239" s="547">
        <v>0</v>
      </c>
      <c r="I239" s="547">
        <v>0</v>
      </c>
      <c r="J239" s="547">
        <v>0</v>
      </c>
      <c r="K239" s="547">
        <v>4704.07</v>
      </c>
      <c r="L239" s="548">
        <f t="shared" si="4"/>
        <v>4704.07</v>
      </c>
      <c r="M239" s="552" t="s">
        <v>689</v>
      </c>
    </row>
    <row r="240" spans="1:13" ht="15" x14ac:dyDescent="0.25">
      <c r="A240" s="655" t="s">
        <v>150</v>
      </c>
      <c r="B240" s="655"/>
      <c r="C240" s="655"/>
      <c r="D240" s="655"/>
      <c r="E240" s="556">
        <f t="shared" ref="E240:L240" si="5">SUM(E6:E239)</f>
        <v>1721814.5900000003</v>
      </c>
      <c r="F240" s="556">
        <f t="shared" si="5"/>
        <v>889819.4</v>
      </c>
      <c r="G240" s="556">
        <f t="shared" si="5"/>
        <v>2281812.6299999994</v>
      </c>
      <c r="H240" s="556">
        <f t="shared" si="5"/>
        <v>1338193.4799999997</v>
      </c>
      <c r="I240" s="556">
        <f t="shared" si="5"/>
        <v>22001.520000000004</v>
      </c>
      <c r="J240" s="556">
        <f t="shared" si="5"/>
        <v>251633.07</v>
      </c>
      <c r="K240" s="556">
        <f t="shared" si="5"/>
        <v>66642.44</v>
      </c>
      <c r="L240" s="556">
        <f t="shared" si="5"/>
        <v>6571917.129999999</v>
      </c>
      <c r="M240" s="557"/>
    </row>
    <row r="241" spans="1:13" ht="15" x14ac:dyDescent="0.25">
      <c r="A241" s="588"/>
      <c r="B241" s="588"/>
      <c r="C241" s="588"/>
      <c r="D241" s="588"/>
      <c r="E241" s="589"/>
      <c r="F241" s="589"/>
      <c r="G241" s="589"/>
      <c r="H241" s="589"/>
      <c r="I241" s="589"/>
      <c r="J241" s="589"/>
      <c r="K241" s="589"/>
      <c r="L241" s="589"/>
      <c r="M241" s="590"/>
    </row>
    <row r="242" spans="1:13" ht="15" x14ac:dyDescent="0.25">
      <c r="A242" s="558"/>
      <c r="B242" s="558"/>
      <c r="C242" s="558"/>
      <c r="D242" s="558"/>
      <c r="E242" s="558"/>
      <c r="F242" s="558"/>
      <c r="G242" s="558"/>
      <c r="H242" s="558"/>
      <c r="I242" s="558"/>
      <c r="J242" s="558"/>
      <c r="K242" s="558"/>
      <c r="L242" s="729"/>
      <c r="M242" s="559" t="s">
        <v>241</v>
      </c>
    </row>
    <row r="243" spans="1:13" ht="15" x14ac:dyDescent="0.25">
      <c r="A243" s="558"/>
      <c r="B243" s="558"/>
      <c r="C243" s="558"/>
      <c r="D243" s="560" t="s">
        <v>229</v>
      </c>
      <c r="E243" s="561">
        <f>E9+E14+E19+E23+E30+E33+E36+E37+E38+E39+E40+E41+E45+E46+E47+E48+E49+E50+E51+E52+E53+E54+E55+E56+E57+E58+E59+E63+E64+E65+E66+E68+E69+E70+E71+E72+E73+E74+E77+E81+E82+E83+E88+E92+E95+E96+E97+E100+E101+E102+E103+E104+E105+E106+E107+E108+E109+E110+E111+E112+E112+E113+E114+E115+E151+E155+E156+E157+E158+E159+E160+E161+E162+E163+E164+E165+E166+E167+E176+E182+E187+E191+E214+E215+E216+E217+E218+E219+E220+E221+E222+E223+E224+E225+E226+E227+E228+E229+E230+E231+E232+E233+E234</f>
        <v>0</v>
      </c>
      <c r="F243" s="561">
        <f>F9+F14+F19+F23+F30+F33+F36+F37+F38+F39+F40+F41+F45+F46+F47+F48+F49+F50+F51+F52+F53+F54+F55+F56+F57+F58+F59+F63+F64+F65+F66+F68+F69+F70+F71+F72+F73+F74+F77+F81+F82+F83+F88+F92+F95+F96+F97+F100+F101+F102+F103+F104+F105+F106+F107+F108+F109+F110+F111+F112+F112+F113+F114+F115+F151+F155+F156+F157+F158+F159+F160+F161+F162+F163+F164+F165+F166+F167+F176+F182+F187+F191+F214+F215+F216+F217+F218+F219+F220+F221+F222+F223+F224+F225+F226+F227+F228+F229+F230+F231+F232+F233+F234+520.2</f>
        <v>94912.079999999944</v>
      </c>
      <c r="G243" s="561">
        <f>G9+G14+G19+G23+G30+G33+G36+G37+G38+G39+G40+G41+G45+G46+G47+G48+G49+G50+G51+G52+G53+G54+G55+G56+G57+G58+G59+G63+G64+G65+G66+G68+G69+G70+G71+G72+G73+G74+G77+G81+G82+G83+G88+G92+G95+G96+G97+G100+G101+G102+G103+G104+G105+G106+G107+G108+G109+G110+G111+G112+G112+G113+G114+G115+G151+G155+G156+G157+G158+G159+G160+G161+G162+G163+G164+G165+G166+G167+G176+G182+G187+G191+G214+G215+G216+G217+G218+G219+G220+G221+G222+G223+G224+G225+G226+G227+G228+G229+G230+G231+G232+G233+G234-388</f>
        <v>124067.51</v>
      </c>
      <c r="H243" s="561">
        <f>H9+H14+H19+H23+H30+H33+H36+H37+H38+H39+H40+H41+H45+H46+H47+H48+H49+H50+H51+H52+H53+H54+H55+H56+H57+H58+H59+H63+H64+H65+H66+H68+H69+H70+H71+H72+H73+H74+H77+H81+H82+H83+H88+H92+H95+H96+H97+H100+H101+H102+H103+H104+H105+H106+H107+H108+H109+H110+H111+H112+H112+H113+H114+H115+H151+H155+H156+H157+H158+H159+H160+H161+H162+H163+H164+H165+H166+H167+H176+H182+H187+H191+H214+H215+H216+H217+H218+H219+H220+H221+H222+H223+H224+H225+H226+H227+H228+H229+H230+H231+H232+H233+H234-3974.02</f>
        <v>25636.079999999998</v>
      </c>
      <c r="I243" s="561">
        <f t="shared" ref="I243:K243" si="6">I9+I14+I19+I23+I30+I33+I36+I37+I38+I39+I40+I41+I45+I46+I47+I48+I49+I50+I51+I52+I53+I54+I55+I56+I57+I58+I59+I63+I64+I65+I66+I68+I69+I70+I71+I72+I73+I74+I77+I81+I82+I83+I88+I92+I95+I96+I97+I100+I101+I102+I103+I104+I105+I106+I107+I108+I109+I110+I111+I112+I112+I113+I114+I115+I151+I155+I156+I157+I158+I159+I160+I161+I162+I163+I164+I165+I166+I167+I176+I182+I187+I191+I214+I215+I216+I217+I218+I219+I220+I221+I222+I223+I224+I225+I226+I227+I228+I229+I230+I231+I232+I233+I234</f>
        <v>428.31999999999994</v>
      </c>
      <c r="J243" s="561">
        <f t="shared" si="6"/>
        <v>0</v>
      </c>
      <c r="K243" s="561">
        <f t="shared" si="6"/>
        <v>0</v>
      </c>
      <c r="L243" s="561">
        <f>SUM(E243:K243)</f>
        <v>245043.98999999993</v>
      </c>
      <c r="M243" s="562">
        <f>L243/L256</f>
        <v>3.7286530726537009E-2</v>
      </c>
    </row>
    <row r="244" spans="1:13" ht="15" x14ac:dyDescent="0.25">
      <c r="A244" s="558"/>
      <c r="B244" s="558"/>
      <c r="C244" s="558"/>
      <c r="D244" s="563"/>
      <c r="E244" s="558"/>
      <c r="F244" s="558"/>
      <c r="G244" s="558"/>
      <c r="H244" s="558"/>
      <c r="I244" s="558"/>
      <c r="J244" s="558"/>
      <c r="K244" s="558"/>
      <c r="L244" s="558"/>
      <c r="M244" s="564"/>
    </row>
    <row r="245" spans="1:13" ht="15" x14ac:dyDescent="0.25">
      <c r="A245" s="558"/>
      <c r="B245" s="558"/>
      <c r="C245" s="558"/>
      <c r="D245" s="565" t="s">
        <v>230</v>
      </c>
      <c r="E245" s="566">
        <f>E44</f>
        <v>3954.95</v>
      </c>
      <c r="F245" s="566">
        <f t="shared" ref="F245:K245" si="7">F44</f>
        <v>16454.02</v>
      </c>
      <c r="G245" s="566">
        <f t="shared" si="7"/>
        <v>796.9</v>
      </c>
      <c r="H245" s="566">
        <f t="shared" si="7"/>
        <v>0</v>
      </c>
      <c r="I245" s="566">
        <f t="shared" si="7"/>
        <v>0</v>
      </c>
      <c r="J245" s="566">
        <f t="shared" si="7"/>
        <v>0</v>
      </c>
      <c r="K245" s="566">
        <f t="shared" si="7"/>
        <v>0</v>
      </c>
      <c r="L245" s="566">
        <f>SUM(E245:K245)</f>
        <v>21205.870000000003</v>
      </c>
      <c r="M245" s="567">
        <f>L245/L256</f>
        <v>3.2267403225761612E-3</v>
      </c>
    </row>
    <row r="246" spans="1:13" ht="15" x14ac:dyDescent="0.25">
      <c r="A246" s="558"/>
      <c r="B246" s="558"/>
      <c r="C246" s="558"/>
      <c r="D246" s="563"/>
      <c r="E246" s="558"/>
      <c r="F246" s="558"/>
      <c r="G246" s="558"/>
      <c r="H246" s="558"/>
      <c r="I246" s="558"/>
      <c r="J246" s="558"/>
      <c r="K246" s="558"/>
      <c r="L246" s="544"/>
      <c r="M246" s="564"/>
    </row>
    <row r="247" spans="1:13" ht="15" x14ac:dyDescent="0.25">
      <c r="A247" s="558"/>
      <c r="B247" s="558"/>
      <c r="C247" s="558"/>
      <c r="D247" s="568" t="s">
        <v>231</v>
      </c>
      <c r="E247" s="569">
        <f>E8+E26+E80</f>
        <v>1421783.9100000001</v>
      </c>
      <c r="F247" s="569">
        <f t="shared" ref="F247:K247" si="8">F8+F26+F80</f>
        <v>0</v>
      </c>
      <c r="G247" s="569">
        <f t="shared" si="8"/>
        <v>0</v>
      </c>
      <c r="H247" s="569">
        <f t="shared" si="8"/>
        <v>0</v>
      </c>
      <c r="I247" s="569">
        <f t="shared" si="8"/>
        <v>0</v>
      </c>
      <c r="J247" s="569">
        <f t="shared" si="8"/>
        <v>0</v>
      </c>
      <c r="K247" s="569">
        <f t="shared" si="8"/>
        <v>0</v>
      </c>
      <c r="L247" s="569">
        <f>SUM(E247:K247)</f>
        <v>1421783.9100000001</v>
      </c>
      <c r="M247" s="570">
        <f>L247/L256</f>
        <v>0.21634233692779384</v>
      </c>
    </row>
    <row r="248" spans="1:13" ht="15" x14ac:dyDescent="0.25">
      <c r="A248" s="558"/>
      <c r="B248" s="558"/>
      <c r="C248" s="558"/>
      <c r="D248" s="563"/>
      <c r="E248" s="558"/>
      <c r="F248" s="558"/>
      <c r="G248" s="558"/>
      <c r="H248" s="558"/>
      <c r="I248" s="558"/>
      <c r="J248" s="558"/>
      <c r="K248" s="558"/>
      <c r="L248" s="544"/>
      <c r="M248" s="564"/>
    </row>
    <row r="249" spans="1:13" ht="15" x14ac:dyDescent="0.25">
      <c r="A249" s="558"/>
      <c r="B249" s="558"/>
      <c r="C249" s="558"/>
      <c r="D249" s="571" t="s">
        <v>232</v>
      </c>
      <c r="E249" s="572">
        <f>E235+E236+E237+E238+E239</f>
        <v>0</v>
      </c>
      <c r="F249" s="572">
        <f t="shared" ref="F249:K249" si="9">F235+F236+F237+F238+F239</f>
        <v>0</v>
      </c>
      <c r="G249" s="572">
        <f t="shared" si="9"/>
        <v>0</v>
      </c>
      <c r="H249" s="572">
        <f t="shared" si="9"/>
        <v>0</v>
      </c>
      <c r="I249" s="572">
        <f t="shared" si="9"/>
        <v>0</v>
      </c>
      <c r="J249" s="572">
        <f t="shared" si="9"/>
        <v>0</v>
      </c>
      <c r="K249" s="572">
        <f t="shared" si="9"/>
        <v>66642.44</v>
      </c>
      <c r="L249" s="572">
        <f>SUM(E249:K249)</f>
        <v>66642.44</v>
      </c>
      <c r="M249" s="573">
        <f>L249/L256</f>
        <v>1.0140486966243896E-2</v>
      </c>
    </row>
    <row r="250" spans="1:13" ht="15" x14ac:dyDescent="0.25">
      <c r="A250" s="558"/>
      <c r="B250" s="558"/>
      <c r="C250" s="558"/>
      <c r="D250" s="563"/>
      <c r="E250" s="558"/>
      <c r="F250" s="558"/>
      <c r="G250" s="558"/>
      <c r="H250" s="558"/>
      <c r="I250" s="558"/>
      <c r="J250" s="558"/>
      <c r="K250" s="558"/>
      <c r="L250" s="544"/>
      <c r="M250" s="564"/>
    </row>
    <row r="251" spans="1:13" ht="15" x14ac:dyDescent="0.25">
      <c r="A251" s="558"/>
      <c r="B251" s="558"/>
      <c r="C251" s="558"/>
      <c r="D251" s="574" t="s">
        <v>233</v>
      </c>
      <c r="E251" s="575">
        <f>E136+E137+E138+E139</f>
        <v>0</v>
      </c>
      <c r="F251" s="575">
        <f t="shared" ref="F251:K251" si="10">F136+F137+F138+F139</f>
        <v>0</v>
      </c>
      <c r="G251" s="575">
        <f t="shared" si="10"/>
        <v>0</v>
      </c>
      <c r="H251" s="575">
        <f t="shared" si="10"/>
        <v>0</v>
      </c>
      <c r="I251" s="575">
        <f t="shared" si="10"/>
        <v>0</v>
      </c>
      <c r="J251" s="575">
        <f t="shared" si="10"/>
        <v>251633.07</v>
      </c>
      <c r="K251" s="575">
        <f t="shared" si="10"/>
        <v>0</v>
      </c>
      <c r="L251" s="575">
        <f>SUM(E251:K251)</f>
        <v>251633.07</v>
      </c>
      <c r="M251" s="576">
        <f>L251/L256</f>
        <v>3.8289142273466248E-2</v>
      </c>
    </row>
    <row r="252" spans="1:13" ht="15" x14ac:dyDescent="0.25">
      <c r="A252" s="558"/>
      <c r="B252" s="558"/>
      <c r="C252" s="558"/>
      <c r="D252" s="563"/>
      <c r="E252" s="558"/>
      <c r="F252" s="558"/>
      <c r="G252" s="558"/>
      <c r="H252" s="558"/>
      <c r="I252" s="558"/>
      <c r="J252" s="558"/>
      <c r="K252" s="558"/>
      <c r="L252" s="544"/>
      <c r="M252" s="564"/>
    </row>
    <row r="253" spans="1:13" ht="15" x14ac:dyDescent="0.25">
      <c r="A253" s="558"/>
      <c r="B253" s="558"/>
      <c r="C253" s="558"/>
      <c r="D253" s="577" t="s">
        <v>234</v>
      </c>
      <c r="E253" s="578">
        <f>E6+E7+E10+E11+E12+E13+E15+E16+E17+E18+E20+E21+E22+E29+E30+E31+E32+E34+E35+E42+E43+E75+E76+E84+E85+E86+E87+E89+E90+E91+E94+E98+E99+E116+E117+E118+E119+E120+E121+E122+E123+E124+E125+E126+E127+E128+E129+E130+E131+E132+E133+E134+E135+E143+E144+E145+E148+E149+E150+E152+E168+E169+E170+E172+E173+E174+E175+E177+E178+E179+E180+E181+E188+E189+E190+E192+E193+E194+E195+E196+E197+E198+E199+E200+E201+E202+E203+E204+E205+E206+E207+E208+E209+E210+E211+E212+E213</f>
        <v>120942.3</v>
      </c>
      <c r="F253" s="578">
        <f t="shared" ref="F253:K253" si="11">F6+F7+F10+F11+F12+F13+F15+F16+F17+F18+F20+F21+F22+F29+F30+F31+F32+F34+F35+F42+F43+F75+F76+F84+F85+F86+F87+F89+F90+F91+F94+F98+F99+F116+F117+F118+F119+F120+F121+F122+F123+F124+F125+F126+F127+F128+F129+F130+F131+F132+F133+F134+F135+F143+F144+F145+F148+F149+F150+F152+F168+F169+F170+F172+F173+F174+F175+F177+F178+F179+F180+F181+F188+F189+F190+F192+F193+F194+F195+F196+F197+F198+F199+F200+F201+F202+F203+F204+F205+F206+F207+F208+F209+F210+F211+F212+F213</f>
        <v>778453.3</v>
      </c>
      <c r="G253" s="578">
        <f t="shared" si="11"/>
        <v>2156948.2200000002</v>
      </c>
      <c r="H253" s="578">
        <f t="shared" si="11"/>
        <v>1312557.3999999999</v>
      </c>
      <c r="I253" s="578">
        <f t="shared" si="11"/>
        <v>21573.200000000001</v>
      </c>
      <c r="J253" s="578">
        <f t="shared" si="11"/>
        <v>0</v>
      </c>
      <c r="K253" s="578">
        <f t="shared" si="11"/>
        <v>0</v>
      </c>
      <c r="L253" s="578">
        <f>SUM(E253:K253)</f>
        <v>4390474.4200000009</v>
      </c>
      <c r="M253" s="579">
        <f>L253/L256</f>
        <v>0.66806600466065225</v>
      </c>
    </row>
    <row r="254" spans="1:13" ht="15" x14ac:dyDescent="0.25">
      <c r="A254" s="558"/>
      <c r="B254" s="558"/>
      <c r="C254" s="558"/>
      <c r="D254" s="563"/>
      <c r="E254" s="558"/>
      <c r="F254" s="558"/>
      <c r="G254" s="558"/>
      <c r="H254" s="558"/>
      <c r="I254" s="558"/>
      <c r="J254" s="558"/>
      <c r="K254" s="558"/>
      <c r="L254" s="544"/>
      <c r="M254" s="564"/>
    </row>
    <row r="255" spans="1:13" ht="15" x14ac:dyDescent="0.25">
      <c r="A255" s="558"/>
      <c r="B255" s="558"/>
      <c r="C255" s="558"/>
      <c r="D255" s="580" t="s">
        <v>235</v>
      </c>
      <c r="E255" s="581">
        <f>E24+E25+E27+E28+E61+E62+E78+E79+E140+E141+E142+E153+E154+E171+E183+E184+E185+E186</f>
        <v>175133.43000000002</v>
      </c>
      <c r="F255" s="581">
        <f t="shared" ref="F255:K255" si="12">F24+F25+F27+F28+F61+F62+F78+F79+F140+F141+F142+F153+F154+F171+F183+F184+F185+F186</f>
        <v>0</v>
      </c>
      <c r="G255" s="581">
        <f t="shared" si="12"/>
        <v>0</v>
      </c>
      <c r="H255" s="581">
        <f t="shared" si="12"/>
        <v>0</v>
      </c>
      <c r="I255" s="581">
        <f t="shared" si="12"/>
        <v>0</v>
      </c>
      <c r="J255" s="581">
        <f t="shared" si="12"/>
        <v>0</v>
      </c>
      <c r="K255" s="581">
        <f t="shared" si="12"/>
        <v>0</v>
      </c>
      <c r="L255" s="581">
        <f>SUM(E255:K255)</f>
        <v>175133.43000000002</v>
      </c>
      <c r="M255" s="582">
        <f>L255/L256</f>
        <v>2.6648758122730619E-2</v>
      </c>
    </row>
    <row r="256" spans="1:13" ht="15" x14ac:dyDescent="0.25">
      <c r="A256" s="558"/>
      <c r="B256" s="558"/>
      <c r="C256" s="558"/>
      <c r="D256" s="563" t="s">
        <v>150</v>
      </c>
      <c r="E256" s="583">
        <f>SUM(E243:E255)</f>
        <v>1721814.59</v>
      </c>
      <c r="F256" s="583">
        <f>SUM(F243:F255)</f>
        <v>889819.4</v>
      </c>
      <c r="G256" s="583">
        <f t="shared" ref="G256:K256" si="13">SUM(G243:G255)</f>
        <v>2281812.6300000004</v>
      </c>
      <c r="H256" s="583">
        <f>SUM(H243:H255)</f>
        <v>1338193.48</v>
      </c>
      <c r="I256" s="583">
        <f t="shared" si="13"/>
        <v>22001.52</v>
      </c>
      <c r="J256" s="583">
        <f t="shared" si="13"/>
        <v>251633.07</v>
      </c>
      <c r="K256" s="583">
        <f t="shared" si="13"/>
        <v>66642.44</v>
      </c>
      <c r="L256" s="583">
        <f>SUM(L243:L255)</f>
        <v>6571917.1300000008</v>
      </c>
      <c r="M256" s="564">
        <f>SUM(M243:M255)</f>
        <v>1</v>
      </c>
    </row>
    <row r="257" spans="6:12" x14ac:dyDescent="0.2">
      <c r="L257" s="152"/>
    </row>
    <row r="258" spans="6:12" x14ac:dyDescent="0.2">
      <c r="F258" s="152"/>
      <c r="G258" s="152"/>
      <c r="H258" s="152"/>
      <c r="I258" s="152"/>
    </row>
    <row r="259" spans="6:12" x14ac:dyDescent="0.2">
      <c r="L259" s="152"/>
    </row>
  </sheetData>
  <mergeCells count="9">
    <mergeCell ref="A240:D240"/>
    <mergeCell ref="E4:K4"/>
    <mergeCell ref="A1:M3"/>
    <mergeCell ref="A4:A5"/>
    <mergeCell ref="B4:B5"/>
    <mergeCell ref="C4:C5"/>
    <mergeCell ref="D4:D5"/>
    <mergeCell ref="L4:L5"/>
    <mergeCell ref="M4:M5"/>
  </mergeCells>
  <printOptions horizontalCentered="1" verticalCentered="1"/>
  <pageMargins left="0" right="0" top="0" bottom="0" header="0.31496062992125984" footer="0.31496062992125984"/>
  <pageSetup paperSize="9" scale="57" orientation="landscape" verticalDpi="0" r:id="rId1"/>
  <rowBreaks count="4" manualBreakCount="4">
    <brk id="44" max="16383" man="1"/>
    <brk id="95" max="16383" man="1"/>
    <brk id="145" max="16383" man="1"/>
    <brk id="179" max="16383" man="1"/>
  </rowBreaks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B155-08A0-44C5-8850-28CC8CFDC898}">
  <dimension ref="A6:L40"/>
  <sheetViews>
    <sheetView showGridLines="0" zoomScale="75" zoomScaleNormal="75" workbookViewId="0">
      <selection activeCell="A33" sqref="A33:B33"/>
    </sheetView>
  </sheetViews>
  <sheetFormatPr defaultRowHeight="12.75" x14ac:dyDescent="0.2"/>
  <cols>
    <col min="1" max="1" width="34.42578125" bestFit="1" customWidth="1"/>
    <col min="2" max="2" width="26.28515625" customWidth="1"/>
    <col min="3" max="3" width="5.5703125" bestFit="1" customWidth="1"/>
    <col min="4" max="4" width="32.7109375" customWidth="1"/>
    <col min="5" max="5" width="32.140625" bestFit="1" customWidth="1"/>
    <col min="6" max="6" width="18" bestFit="1" customWidth="1"/>
    <col min="7" max="7" width="21.5703125" bestFit="1" customWidth="1"/>
    <col min="10" max="10" width="9.28515625" bestFit="1" customWidth="1"/>
    <col min="11" max="11" width="10" bestFit="1" customWidth="1"/>
    <col min="12" max="12" width="11.7109375" bestFit="1" customWidth="1"/>
  </cols>
  <sheetData>
    <row r="6" spans="1:7" ht="15" x14ac:dyDescent="0.25">
      <c r="A6" s="675" t="s">
        <v>107</v>
      </c>
      <c r="B6" s="675"/>
      <c r="C6" s="675"/>
      <c r="D6" s="675"/>
      <c r="E6" s="675"/>
      <c r="F6" s="675"/>
      <c r="G6" s="675"/>
    </row>
    <row r="7" spans="1:7" ht="15" x14ac:dyDescent="0.25">
      <c r="A7" s="676" t="s">
        <v>112</v>
      </c>
      <c r="B7" s="676"/>
      <c r="C7" s="676"/>
      <c r="D7" s="676"/>
      <c r="E7" s="676"/>
      <c r="F7" s="676"/>
      <c r="G7" s="676"/>
    </row>
    <row r="8" spans="1:7" ht="16.5" thickBot="1" x14ac:dyDescent="0.3">
      <c r="D8" s="672"/>
      <c r="E8" s="672"/>
    </row>
    <row r="9" spans="1:7" ht="21.75" thickBot="1" x14ac:dyDescent="0.4">
      <c r="A9" s="689" t="s">
        <v>303</v>
      </c>
      <c r="B9" s="691"/>
      <c r="C9" s="140"/>
      <c r="D9" s="689" t="s">
        <v>690</v>
      </c>
      <c r="E9" s="690"/>
      <c r="F9" s="667" t="s">
        <v>75</v>
      </c>
      <c r="G9" s="667"/>
    </row>
    <row r="10" spans="1:7" ht="18.75" x14ac:dyDescent="0.3">
      <c r="A10" s="668" t="s">
        <v>123</v>
      </c>
      <c r="B10" s="668"/>
      <c r="C10" s="140"/>
      <c r="D10" s="668" t="s">
        <v>123</v>
      </c>
      <c r="E10" s="668"/>
    </row>
    <row r="11" spans="1:7" ht="18.75" x14ac:dyDescent="0.3">
      <c r="A11" s="149" t="s">
        <v>111</v>
      </c>
      <c r="B11" s="209">
        <v>14748075.800000001</v>
      </c>
      <c r="D11" s="149" t="s">
        <v>111</v>
      </c>
      <c r="E11" s="313">
        <f>receitas!N11</f>
        <v>18836673.149999999</v>
      </c>
      <c r="F11" s="677"/>
      <c r="G11" s="678"/>
    </row>
    <row r="12" spans="1:7" ht="18.75" x14ac:dyDescent="0.3">
      <c r="A12" s="149" t="s">
        <v>110</v>
      </c>
      <c r="B12" s="162">
        <v>7184330.6399999997</v>
      </c>
      <c r="D12" s="149" t="s">
        <v>110</v>
      </c>
      <c r="E12" s="314">
        <f>receitas!N15</f>
        <v>9482145.8300000001</v>
      </c>
      <c r="F12" s="677"/>
      <c r="G12" s="678"/>
    </row>
    <row r="13" spans="1:7" ht="18.75" x14ac:dyDescent="0.3">
      <c r="A13" s="149" t="s">
        <v>109</v>
      </c>
      <c r="B13" s="162">
        <v>16595276.66</v>
      </c>
      <c r="D13" s="149" t="s">
        <v>109</v>
      </c>
      <c r="E13" s="314">
        <f>receitas!N17</f>
        <v>20576156.289999999</v>
      </c>
      <c r="F13" s="677"/>
      <c r="G13" s="678"/>
    </row>
    <row r="14" spans="1:7" ht="18.75" x14ac:dyDescent="0.3">
      <c r="A14" s="149" t="s">
        <v>171</v>
      </c>
      <c r="B14" s="163">
        <v>14793889.24</v>
      </c>
      <c r="D14" s="149" t="s">
        <v>171</v>
      </c>
      <c r="E14" s="315">
        <f>receitas!N19</f>
        <v>18283025.380000003</v>
      </c>
      <c r="F14" s="679"/>
      <c r="G14" s="680"/>
    </row>
    <row r="15" spans="1:7" ht="18.75" x14ac:dyDescent="0.3">
      <c r="A15" s="149" t="s">
        <v>168</v>
      </c>
      <c r="B15" s="162">
        <v>102728.2</v>
      </c>
      <c r="D15" s="149" t="s">
        <v>168</v>
      </c>
      <c r="E15" s="314">
        <f>receitas!N21</f>
        <v>179772.74999999997</v>
      </c>
      <c r="F15" s="681"/>
      <c r="G15" s="682"/>
    </row>
    <row r="16" spans="1:7" ht="18.75" x14ac:dyDescent="0.3">
      <c r="A16" s="149" t="s">
        <v>169</v>
      </c>
      <c r="B16" s="162">
        <v>1773379.2</v>
      </c>
      <c r="D16" s="149" t="s">
        <v>169</v>
      </c>
      <c r="E16" s="314">
        <f>receitas!N24</f>
        <v>2811621.11</v>
      </c>
      <c r="F16" s="403"/>
      <c r="G16" s="404"/>
    </row>
    <row r="17" spans="1:12" ht="18.75" x14ac:dyDescent="0.3">
      <c r="A17" s="149" t="s">
        <v>170</v>
      </c>
      <c r="B17" s="162">
        <v>1029505.15</v>
      </c>
      <c r="D17" s="149" t="s">
        <v>170</v>
      </c>
      <c r="E17" s="314">
        <f>receitas!N26</f>
        <v>905746.98</v>
      </c>
      <c r="F17" s="403"/>
      <c r="G17" s="404"/>
    </row>
    <row r="18" spans="1:12" ht="19.5" thickBot="1" x14ac:dyDescent="0.35">
      <c r="A18" s="149" t="s">
        <v>108</v>
      </c>
      <c r="B18" s="163">
        <v>2319002.92</v>
      </c>
      <c r="D18" s="149" t="s">
        <v>108</v>
      </c>
      <c r="E18" s="315">
        <f>receitas!N31</f>
        <v>4129237.2899999991</v>
      </c>
      <c r="F18" s="687"/>
      <c r="G18" s="688"/>
    </row>
    <row r="19" spans="1:12" ht="18.75" x14ac:dyDescent="0.3">
      <c r="A19" s="161" t="s">
        <v>98</v>
      </c>
      <c r="B19" s="160">
        <f>SUM(B11:B18)</f>
        <v>58546187.81000001</v>
      </c>
      <c r="D19" s="161" t="s">
        <v>98</v>
      </c>
      <c r="E19" s="474">
        <f>SUM(E11:E18)</f>
        <v>75204378.780000001</v>
      </c>
      <c r="F19" s="673" t="s">
        <v>173</v>
      </c>
      <c r="G19" s="674"/>
    </row>
    <row r="20" spans="1:12" ht="19.5" thickBot="1" x14ac:dyDescent="0.35">
      <c r="A20" s="159" t="s">
        <v>97</v>
      </c>
      <c r="B20" s="158">
        <f>B19/12</f>
        <v>4878848.9841666678</v>
      </c>
      <c r="D20" s="159" t="s">
        <v>97</v>
      </c>
      <c r="E20" s="475">
        <f>E19/12</f>
        <v>6267031.5650000004</v>
      </c>
      <c r="F20" s="685">
        <f>E20/B20-1</f>
        <v>0.28453075414680851</v>
      </c>
      <c r="G20" s="686"/>
      <c r="L20" s="134"/>
    </row>
    <row r="21" spans="1:12" ht="18.75" x14ac:dyDescent="0.3">
      <c r="A21" s="683"/>
      <c r="B21" s="683"/>
      <c r="D21" s="684"/>
      <c r="E21" s="683"/>
    </row>
    <row r="22" spans="1:12" ht="18.75" x14ac:dyDescent="0.3">
      <c r="A22" s="90"/>
      <c r="B22" s="157"/>
      <c r="D22" s="90"/>
      <c r="E22" s="157"/>
      <c r="K22" s="259"/>
    </row>
    <row r="23" spans="1:12" ht="13.5" thickBot="1" x14ac:dyDescent="0.25"/>
    <row r="24" spans="1:12" ht="15.75" thickBot="1" x14ac:dyDescent="0.3">
      <c r="A24" s="669" t="s">
        <v>96</v>
      </c>
      <c r="B24" s="670"/>
      <c r="C24" s="670"/>
      <c r="D24" s="670"/>
      <c r="E24" s="670"/>
      <c r="F24" s="670"/>
      <c r="G24" s="671"/>
    </row>
    <row r="25" spans="1:12" ht="13.5" thickBot="1" x14ac:dyDescent="0.25"/>
    <row r="26" spans="1:12" ht="16.5" thickBot="1" x14ac:dyDescent="0.3">
      <c r="A26" s="661" t="s">
        <v>691</v>
      </c>
      <c r="B26" s="662"/>
      <c r="C26" s="140"/>
      <c r="D26" s="661" t="s">
        <v>692</v>
      </c>
      <c r="E26" s="662"/>
      <c r="G26" s="155" t="s">
        <v>95</v>
      </c>
    </row>
    <row r="27" spans="1:12" ht="18.75" x14ac:dyDescent="0.3">
      <c r="A27" s="657">
        <f>receitas!L40</f>
        <v>6531451.6100000003</v>
      </c>
      <c r="B27" s="658"/>
      <c r="C27" s="138"/>
      <c r="D27" s="657">
        <f>receitas!M40</f>
        <v>6978707.7000000002</v>
      </c>
      <c r="E27" s="658"/>
      <c r="F27" s="241"/>
      <c r="G27" s="202">
        <f>D27/A27-1</f>
        <v>6.8477287547415555E-2</v>
      </c>
      <c r="I27" s="230" t="s">
        <v>12</v>
      </c>
      <c r="L27" s="134"/>
    </row>
    <row r="28" spans="1:12" ht="13.5" thickBot="1" x14ac:dyDescent="0.25">
      <c r="G28" s="156"/>
      <c r="L28" s="134"/>
    </row>
    <row r="29" spans="1:12" ht="16.5" thickBot="1" x14ac:dyDescent="0.3">
      <c r="A29" s="659" t="s">
        <v>693</v>
      </c>
      <c r="B29" s="660"/>
      <c r="C29" s="140"/>
      <c r="D29" s="661" t="s">
        <v>692</v>
      </c>
      <c r="E29" s="662"/>
      <c r="F29" s="154"/>
      <c r="G29" s="155" t="s">
        <v>95</v>
      </c>
    </row>
    <row r="30" spans="1:12" ht="23.25" x14ac:dyDescent="0.35">
      <c r="A30" s="657">
        <v>5395390.5199999996</v>
      </c>
      <c r="B30" s="658"/>
      <c r="C30" s="138"/>
      <c r="D30" s="657">
        <f>D27</f>
        <v>6978707.7000000002</v>
      </c>
      <c r="E30" s="658"/>
      <c r="F30" s="239"/>
      <c r="G30" s="184">
        <f>D30/A30-1</f>
        <v>0.29345738258071452</v>
      </c>
      <c r="H30" s="182"/>
      <c r="J30" s="230" t="s">
        <v>12</v>
      </c>
      <c r="K30" s="230" t="s">
        <v>12</v>
      </c>
    </row>
    <row r="31" spans="1:12" ht="13.5" thickBot="1" x14ac:dyDescent="0.25">
      <c r="D31" s="152"/>
      <c r="F31" s="154"/>
      <c r="G31" s="153"/>
    </row>
    <row r="32" spans="1:12" ht="20.25" customHeight="1" x14ac:dyDescent="0.25">
      <c r="A32" s="659" t="s">
        <v>694</v>
      </c>
      <c r="B32" s="660"/>
      <c r="D32" s="666" t="s">
        <v>136</v>
      </c>
      <c r="E32" s="666"/>
      <c r="F32" s="183"/>
    </row>
    <row r="33" spans="1:6" ht="18.75" x14ac:dyDescent="0.3">
      <c r="A33" s="664">
        <f>receitas!N40</f>
        <v>75204378.780000001</v>
      </c>
      <c r="B33" s="665"/>
      <c r="D33" s="663">
        <f>A33/12</f>
        <v>6267031.5650000004</v>
      </c>
      <c r="E33" s="663"/>
    </row>
    <row r="34" spans="1:6" ht="20.25" x14ac:dyDescent="0.3">
      <c r="A34" s="151"/>
      <c r="B34" s="656"/>
      <c r="C34" s="656"/>
      <c r="D34" s="250"/>
    </row>
    <row r="35" spans="1:6" ht="18.75" x14ac:dyDescent="0.3">
      <c r="A35" s="152"/>
      <c r="B35" s="194"/>
      <c r="D35" s="134"/>
    </row>
    <row r="36" spans="1:6" ht="15" x14ac:dyDescent="0.25">
      <c r="A36" s="136"/>
      <c r="B36" s="151" t="s">
        <v>12</v>
      </c>
    </row>
    <row r="40" spans="1:6" x14ac:dyDescent="0.2">
      <c r="F40" s="134"/>
    </row>
  </sheetData>
  <mergeCells count="32">
    <mergeCell ref="D8:E8"/>
    <mergeCell ref="D30:E30"/>
    <mergeCell ref="F19:G19"/>
    <mergeCell ref="A6:G6"/>
    <mergeCell ref="A7:G7"/>
    <mergeCell ref="F13:G13"/>
    <mergeCell ref="F14:G14"/>
    <mergeCell ref="F15:G15"/>
    <mergeCell ref="F11:G11"/>
    <mergeCell ref="A21:B21"/>
    <mergeCell ref="D21:E21"/>
    <mergeCell ref="F20:G20"/>
    <mergeCell ref="F18:G18"/>
    <mergeCell ref="D9:E9"/>
    <mergeCell ref="F12:G12"/>
    <mergeCell ref="A9:B9"/>
    <mergeCell ref="F9:G9"/>
    <mergeCell ref="A10:B10"/>
    <mergeCell ref="D10:E10"/>
    <mergeCell ref="A32:B32"/>
    <mergeCell ref="A30:B30"/>
    <mergeCell ref="A24:G24"/>
    <mergeCell ref="A26:B26"/>
    <mergeCell ref="D26:E26"/>
    <mergeCell ref="B34:C34"/>
    <mergeCell ref="D27:E27"/>
    <mergeCell ref="A29:B29"/>
    <mergeCell ref="D29:E29"/>
    <mergeCell ref="A27:B27"/>
    <mergeCell ref="D33:E33"/>
    <mergeCell ref="A33:B33"/>
    <mergeCell ref="D32:E32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resumo</vt:lpstr>
      <vt:lpstr>Mov. Cargas </vt:lpstr>
      <vt:lpstr>cargas mensal</vt:lpstr>
      <vt:lpstr>médias móveis cargas</vt:lpstr>
      <vt:lpstr>Compar. Cargas</vt:lpstr>
      <vt:lpstr>Export. Import.</vt:lpstr>
      <vt:lpstr>receitas</vt:lpstr>
      <vt:lpstr>detalhe faturamento</vt:lpstr>
      <vt:lpstr>Compar. receitas</vt:lpstr>
      <vt:lpstr>berço 101</vt:lpstr>
      <vt:lpstr>tempo espera x qtde navios</vt:lpstr>
      <vt:lpstr>Compar. berços</vt:lpstr>
      <vt:lpstr>valor das cargas CIF</vt:lpstr>
      <vt:lpstr>'Mov. Cargas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MOVIMENTAÇÃO CARGAS-1 SEMESTR</dc:title>
  <dc:creator>DERSA</dc:creator>
  <cp:lastModifiedBy>Flavia de Souza Correa</cp:lastModifiedBy>
  <cp:lastPrinted>2025-12-05T18:15:42Z</cp:lastPrinted>
  <dcterms:created xsi:type="dcterms:W3CDTF">1999-02-08T11:09:12Z</dcterms:created>
  <dcterms:modified xsi:type="dcterms:W3CDTF">2026-01-06T20:07:33Z</dcterms:modified>
</cp:coreProperties>
</file>